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9f2e378e7eb0760/Masaüstü/"/>
    </mc:Choice>
  </mc:AlternateContent>
  <xr:revisionPtr revIDLastSave="112" documentId="13_ncr:1_{7069B507-4EB0-41AA-B31F-F6F4E9EE9ECB}" xr6:coauthVersionLast="47" xr6:coauthVersionMax="47" xr10:uidLastSave="{6C970A48-661F-4B90-8241-137B3304D51B}"/>
  <bookViews>
    <workbookView xWindow="780" yWindow="780" windowWidth="21600" windowHeight="11295" tabRatio="500" xr2:uid="{00000000-000D-0000-FFFF-FFFF00000000}"/>
  </bookViews>
  <sheets>
    <sheet name="A-1" sheetId="1" r:id="rId1"/>
    <sheet name="A-2" sheetId="2" r:id="rId2"/>
    <sheet name="A-3" sheetId="3" r:id="rId3"/>
    <sheet name="A-4" sheetId="4" r:id="rId4"/>
    <sheet name="A-5" sheetId="5" r:id="rId5"/>
  </sheets>
  <definedNames>
    <definedName name="_xlnm._FilterDatabase" localSheetId="0" hidden="1">'A-1'!$A$3:$H$30</definedName>
    <definedName name="_xlnm._FilterDatabase" localSheetId="1" hidden="1">'A-2'!$A$3:$H$19</definedName>
    <definedName name="_xlnm._FilterDatabase" localSheetId="2" hidden="1">'A-3'!$A$3:$H$61</definedName>
    <definedName name="_xlnm._FilterDatabase" localSheetId="3" hidden="1">'A-4'!$A$3:$H$48</definedName>
    <definedName name="_xlnm._FilterDatabase" localSheetId="4" hidden="1">'A-5'!$A$3:$H$28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6" i="1" l="1"/>
  <c r="H19" i="2"/>
  <c r="H14" i="2"/>
  <c r="H13" i="2"/>
  <c r="H11" i="2"/>
  <c r="H10" i="2"/>
  <c r="H44" i="4"/>
  <c r="H45" i="4"/>
  <c r="H46" i="4"/>
  <c r="H47" i="4"/>
  <c r="H48" i="4"/>
  <c r="H39" i="4"/>
  <c r="H40" i="4"/>
  <c r="H41" i="4"/>
  <c r="H38" i="4"/>
  <c r="H43" i="4"/>
  <c r="H35" i="4"/>
  <c r="H34" i="4"/>
  <c r="H30" i="4"/>
  <c r="H29" i="4"/>
  <c r="H25" i="4"/>
  <c r="H24" i="4"/>
  <c r="H23" i="4"/>
  <c r="H22" i="4"/>
  <c r="H21" i="4"/>
  <c r="H22" i="5"/>
  <c r="H23" i="5"/>
  <c r="H24" i="5"/>
  <c r="H25" i="5"/>
  <c r="H26" i="5"/>
  <c r="H27" i="5"/>
  <c r="H21" i="5"/>
  <c r="H28" i="5"/>
  <c r="H20" i="5"/>
  <c r="H11" i="5"/>
  <c r="H19" i="5"/>
  <c r="H18" i="5"/>
  <c r="H17" i="5"/>
  <c r="H12" i="5"/>
  <c r="H53" i="3"/>
  <c r="H54" i="3"/>
  <c r="H32" i="4" l="1"/>
  <c r="H36" i="4"/>
  <c r="H26" i="4"/>
  <c r="H27" i="4"/>
  <c r="H15" i="2"/>
  <c r="H42" i="4"/>
  <c r="H4" i="4"/>
  <c r="H5" i="4"/>
  <c r="H6" i="4"/>
  <c r="H7" i="4"/>
  <c r="H8" i="4"/>
  <c r="H9" i="4"/>
  <c r="H10" i="4"/>
  <c r="H11" i="4"/>
  <c r="H12" i="4"/>
  <c r="H13" i="4"/>
  <c r="H15" i="4"/>
  <c r="H16" i="4"/>
  <c r="H17" i="4"/>
  <c r="H18" i="4"/>
  <c r="H19" i="4"/>
  <c r="H20" i="1"/>
  <c r="H21" i="1"/>
  <c r="H22" i="1"/>
  <c r="H23" i="1"/>
  <c r="H25" i="1"/>
  <c r="H59" i="3"/>
  <c r="H55" i="3"/>
  <c r="H49" i="3"/>
  <c r="H48" i="3"/>
  <c r="H35" i="3"/>
  <c r="H33" i="3"/>
  <c r="H32" i="3"/>
  <c r="H29" i="3"/>
  <c r="H27" i="3"/>
  <c r="H26" i="3"/>
  <c r="H23" i="3"/>
  <c r="H21" i="3"/>
  <c r="H20" i="3"/>
  <c r="H19" i="3"/>
  <c r="H16" i="3"/>
  <c r="H15" i="3"/>
  <c r="H14" i="3"/>
  <c r="H11" i="3"/>
  <c r="H10" i="3"/>
  <c r="H9" i="3"/>
  <c r="H8" i="3"/>
  <c r="F7" i="3"/>
  <c r="F6" i="3"/>
  <c r="H5" i="3"/>
  <c r="H12" i="2"/>
  <c r="H9" i="2"/>
  <c r="H8" i="2"/>
  <c r="H7" i="2"/>
  <c r="H6" i="2"/>
  <c r="H5" i="2"/>
  <c r="H4" i="2"/>
  <c r="H30" i="1"/>
  <c r="H29" i="1"/>
  <c r="H28" i="1"/>
  <c r="H27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<sst xmlns="http://schemas.openxmlformats.org/spreadsheetml/2006/main" count="626" uniqueCount="49">
  <si>
    <t>A-1 BLOK</t>
  </si>
  <si>
    <t>BAĞIMSIZ BÖLÜM NO</t>
  </si>
  <si>
    <t>NİTELİK</t>
  </si>
  <si>
    <t>CEPHE</t>
  </si>
  <si>
    <t>KAT</t>
  </si>
  <si>
    <t>TİP İSMİ</t>
  </si>
  <si>
    <t>M²</t>
  </si>
  <si>
    <t>M²(BRÜT)</t>
  </si>
  <si>
    <r>
      <rPr>
        <b/>
        <sz val="11"/>
        <color rgb="FF000000"/>
        <rFont val="Calibri"/>
        <family val="2"/>
        <charset val="162"/>
      </rPr>
      <t>FİYAT LİSTESİ</t>
    </r>
    <r>
      <rPr>
        <b/>
        <sz val="11"/>
        <color rgb="FFFF0000"/>
        <rFont val="Calibri"/>
        <family val="2"/>
        <charset val="162"/>
      </rPr>
      <t>(TL)</t>
    </r>
  </si>
  <si>
    <t>DÜKKAN</t>
  </si>
  <si>
    <t>Güney</t>
  </si>
  <si>
    <t xml:space="preserve">Bodrum+Zemin+Asma </t>
  </si>
  <si>
    <t>DAİRE</t>
  </si>
  <si>
    <t>Kuzey-Batı</t>
  </si>
  <si>
    <t>2+1</t>
  </si>
  <si>
    <t>Kuzey-Doğu</t>
  </si>
  <si>
    <t>3+1</t>
  </si>
  <si>
    <t>Güney-Doğu</t>
  </si>
  <si>
    <t>Güney-Batı</t>
  </si>
  <si>
    <t>A-2 BLOK</t>
  </si>
  <si>
    <t>A-3 BLOK</t>
  </si>
  <si>
    <t>Doğu</t>
  </si>
  <si>
    <t>Batı</t>
  </si>
  <si>
    <t>1+1</t>
  </si>
  <si>
    <t>4+1</t>
  </si>
  <si>
    <t>Doğu
(TERAS)</t>
  </si>
  <si>
    <t>Kuzey-Doğu
(TERAS)</t>
  </si>
  <si>
    <t>A-4 BLOK</t>
  </si>
  <si>
    <t>FİYAT LİSTESİ</t>
  </si>
  <si>
    <t>A-5 BLOK</t>
  </si>
  <si>
    <t>Doğu-Kuzey</t>
  </si>
  <si>
    <t>Kuzey</t>
  </si>
  <si>
    <t>Minimum Price At Complex</t>
  </si>
  <si>
    <t>TERRA MANZARA</t>
  </si>
  <si>
    <t>2+1 - 90m2</t>
  </si>
  <si>
    <t>2+1 - 103 m2</t>
  </si>
  <si>
    <t xml:space="preserve">1+1 - 60 m2 </t>
  </si>
  <si>
    <t xml:space="preserve"> STARTING PRICES</t>
  </si>
  <si>
    <t>BAŞLANGIÇ FİYATLARI</t>
  </si>
  <si>
    <t>.</t>
  </si>
  <si>
    <t>Güney (Deniz Manzaralı)</t>
  </si>
  <si>
    <t>SOLD</t>
  </si>
  <si>
    <t>7.459.000 TL</t>
  </si>
  <si>
    <t>7.952.000 TL</t>
  </si>
  <si>
    <t>13,189,000,00</t>
  </si>
  <si>
    <t>13,189,000,00 TL</t>
  </si>
  <si>
    <t>3+1 -120 m2</t>
  </si>
  <si>
    <t>7.959.000 TL</t>
  </si>
  <si>
    <t>8.243.000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</si>
</sst>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TL&quot;;[Red]\-#,##0\ &quot;TL&quot;"/>
    <numFmt numFmtId="165" formatCode="* #,##0.00\ ;\-* #,##0.00\ ;* \-#\ ;@\ "/>
  </numFmts>
  <fonts count="13" x14ac:knownFonts="1"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20"/>
      <color rgb="FF000000"/>
      <name val="Calibri"/>
      <family val="2"/>
      <charset val="162"/>
    </font>
    <font>
      <b/>
      <sz val="11"/>
      <name val="Calibri"/>
      <family val="2"/>
      <charset val="162"/>
    </font>
    <font>
      <b/>
      <sz val="11"/>
      <color rgb="FFFF0000"/>
      <name val="Calibri"/>
      <family val="2"/>
      <charset val="162"/>
    </font>
    <font>
      <sz val="11"/>
      <color rgb="FFFF0000"/>
      <name val="Calibri"/>
      <family val="2"/>
      <charset val="162"/>
    </font>
    <font>
      <b/>
      <sz val="11"/>
      <color rgb="FF92D050"/>
      <name val="Calibri"/>
      <family val="2"/>
      <charset val="162"/>
    </font>
    <font>
      <sz val="11"/>
      <color rgb="FF92D050"/>
      <name val="Calibri"/>
      <family val="2"/>
      <charset val="162"/>
    </font>
    <font>
      <sz val="11"/>
      <name val="Calibri"/>
      <family val="2"/>
      <charset val="162"/>
    </font>
    <font>
      <b/>
      <sz val="20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theme="1"/>
      <name val="Calibri"/>
      <family val="2"/>
      <charset val="162"/>
    </font>
  </fonts>
  <fills count="14">
    <fill>
      <patternFill patternType="none"/>
    </fill>
    <fill>
      <patternFill patternType="gray125"/>
    </fill>
    <fill>
      <patternFill patternType="solid">
        <fgColor rgb="FFC4BD97"/>
        <bgColor rgb="FFA6A6A6"/>
      </patternFill>
    </fill>
    <fill>
      <patternFill patternType="solid">
        <fgColor rgb="FF92D050"/>
        <bgColor rgb="FF90C74D"/>
      </patternFill>
    </fill>
    <fill>
      <patternFill patternType="solid">
        <fgColor rgb="FF90C74D"/>
        <bgColor rgb="FF92D050"/>
      </patternFill>
    </fill>
    <fill>
      <patternFill patternType="solid">
        <fgColor rgb="FF81D41A"/>
        <bgColor rgb="FF92D050"/>
      </patternFill>
    </fill>
    <fill>
      <patternFill patternType="solid">
        <fgColor rgb="FFFFFFFF"/>
        <bgColor rgb="FFFFFFCC"/>
      </patternFill>
    </fill>
    <fill>
      <patternFill patternType="solid">
        <fgColor rgb="FF5EB91E"/>
        <bgColor rgb="FF58AD42"/>
      </patternFill>
    </fill>
    <fill>
      <patternFill patternType="solid">
        <fgColor rgb="FF58AD42"/>
        <bgColor rgb="FF5EB91E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0" fillId="0" borderId="0" applyBorder="0" applyProtection="0"/>
  </cellStyleXfs>
  <cellXfs count="2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0" fillId="0" borderId="0" xfId="1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5" fontId="1" fillId="0" borderId="5" xfId="1" applyFont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65" fontId="4" fillId="0" borderId="11" xfId="1" applyFont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165" fontId="0" fillId="0" borderId="11" xfId="1" applyFont="1" applyBorder="1" applyAlignment="1" applyProtection="1">
      <alignment horizontal="center" vertical="center" wrapText="1"/>
    </xf>
    <xf numFmtId="0" fontId="0" fillId="3" borderId="10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165" fontId="4" fillId="3" borderId="11" xfId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5" fontId="0" fillId="3" borderId="11" xfId="1" applyFont="1" applyFill="1" applyBorder="1" applyAlignment="1" applyProtection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165" fontId="4" fillId="5" borderId="11" xfId="1" applyFont="1" applyFill="1" applyBorder="1" applyAlignment="1" applyProtection="1">
      <alignment horizontal="center" vertical="center" wrapText="1"/>
    </xf>
    <xf numFmtId="165" fontId="4" fillId="4" borderId="11" xfId="1" applyFont="1" applyFill="1" applyBorder="1" applyAlignment="1" applyProtection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0" fillId="5" borderId="13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165" fontId="0" fillId="5" borderId="11" xfId="1" applyFont="1" applyFill="1" applyBorder="1" applyAlignment="1" applyProtection="1">
      <alignment horizontal="center" vertical="center" wrapText="1"/>
    </xf>
    <xf numFmtId="0" fontId="0" fillId="6" borderId="12" xfId="0" applyFill="1" applyBorder="1" applyAlignment="1">
      <alignment horizontal="center" vertical="center"/>
    </xf>
    <xf numFmtId="0" fontId="0" fillId="6" borderId="13" xfId="0" applyFont="1" applyFill="1" applyBorder="1" applyAlignment="1">
      <alignment horizontal="center" vertical="center"/>
    </xf>
    <xf numFmtId="0" fontId="0" fillId="6" borderId="13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165" fontId="4" fillId="5" borderId="14" xfId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4" borderId="11" xfId="1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165" fontId="0" fillId="0" borderId="0" xfId="1" applyFont="1" applyBorder="1" applyAlignment="1" applyProtection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65" fontId="1" fillId="3" borderId="8" xfId="1" applyFont="1" applyFill="1" applyBorder="1" applyAlignment="1" applyProtection="1">
      <alignment horizontal="center" vertical="center" wrapText="1"/>
    </xf>
    <xf numFmtId="0" fontId="0" fillId="3" borderId="9" xfId="0" applyFont="1" applyFill="1" applyBorder="1" applyAlignment="1">
      <alignment horizontal="center" vertical="center"/>
    </xf>
    <xf numFmtId="165" fontId="0" fillId="3" borderId="10" xfId="1" applyFont="1" applyFill="1" applyBorder="1" applyAlignment="1" applyProtection="1">
      <alignment horizontal="center" vertical="center"/>
    </xf>
    <xf numFmtId="165" fontId="0" fillId="0" borderId="11" xfId="1" applyFont="1" applyBorder="1" applyAlignment="1" applyProtection="1">
      <alignment horizontal="center" vertical="center"/>
    </xf>
    <xf numFmtId="165" fontId="4" fillId="3" borderId="7" xfId="1" applyFont="1" applyFill="1" applyBorder="1" applyAlignment="1" applyProtection="1">
      <alignment horizontal="center" vertical="center"/>
    </xf>
    <xf numFmtId="165" fontId="4" fillId="3" borderId="11" xfId="1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165" fontId="4" fillId="4" borderId="10" xfId="1" applyFont="1" applyFill="1" applyBorder="1" applyAlignment="1" applyProtection="1">
      <alignment horizontal="center" vertical="center"/>
    </xf>
    <xf numFmtId="165" fontId="6" fillId="4" borderId="11" xfId="1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165" fontId="4" fillId="4" borderId="13" xfId="1" applyFont="1" applyFill="1" applyBorder="1" applyAlignment="1" applyProtection="1">
      <alignment horizontal="center" vertical="center"/>
    </xf>
    <xf numFmtId="165" fontId="0" fillId="3" borderId="7" xfId="1" applyFont="1" applyFill="1" applyBorder="1" applyAlignment="1" applyProtection="1">
      <alignment horizontal="center" vertical="center"/>
    </xf>
    <xf numFmtId="165" fontId="0" fillId="3" borderId="11" xfId="1" applyFont="1" applyFill="1" applyBorder="1" applyAlignment="1" applyProtection="1">
      <alignment horizontal="center" vertical="center"/>
    </xf>
    <xf numFmtId="165" fontId="0" fillId="0" borderId="10" xfId="1" applyFont="1" applyBorder="1" applyAlignment="1" applyProtection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 wrapText="1"/>
    </xf>
    <xf numFmtId="165" fontId="0" fillId="4" borderId="10" xfId="1" applyFont="1" applyFill="1" applyBorder="1" applyAlignment="1" applyProtection="1">
      <alignment horizontal="center" vertical="center"/>
    </xf>
    <xf numFmtId="165" fontId="7" fillId="4" borderId="11" xfId="1" applyFont="1" applyFill="1" applyBorder="1" applyAlignment="1" applyProtection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 wrapText="1"/>
    </xf>
    <xf numFmtId="165" fontId="0" fillId="4" borderId="13" xfId="1" applyFont="1" applyFill="1" applyBorder="1" applyAlignment="1" applyProtection="1">
      <alignment horizontal="center" vertical="center"/>
    </xf>
    <xf numFmtId="165" fontId="4" fillId="3" borderId="10" xfId="1" applyFont="1" applyFill="1" applyBorder="1" applyAlignment="1" applyProtection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 wrapText="1"/>
    </xf>
    <xf numFmtId="165" fontId="0" fillId="5" borderId="10" xfId="1" applyFont="1" applyFill="1" applyBorder="1" applyAlignment="1" applyProtection="1">
      <alignment horizontal="center" vertical="center"/>
    </xf>
    <xf numFmtId="165" fontId="0" fillId="5" borderId="11" xfId="1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165" fontId="8" fillId="4" borderId="13" xfId="1" applyFont="1" applyFill="1" applyBorder="1" applyAlignment="1" applyProtection="1">
      <alignment horizontal="center" vertical="center"/>
    </xf>
    <xf numFmtId="165" fontId="4" fillId="5" borderId="10" xfId="1" applyFont="1" applyFill="1" applyBorder="1" applyAlignment="1" applyProtection="1">
      <alignment horizontal="center" vertical="center"/>
    </xf>
    <xf numFmtId="165" fontId="4" fillId="5" borderId="11" xfId="1" applyFont="1" applyFill="1" applyBorder="1" applyAlignment="1" applyProtection="1">
      <alignment horizontal="center" vertical="center"/>
    </xf>
    <xf numFmtId="165" fontId="6" fillId="4" borderId="14" xfId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165" fontId="5" fillId="3" borderId="11" xfId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 wrapText="1"/>
    </xf>
    <xf numFmtId="165" fontId="5" fillId="7" borderId="11" xfId="1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65" fontId="5" fillId="0" borderId="11" xfId="1" applyFont="1" applyBorder="1" applyAlignment="1" applyProtection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165" fontId="8" fillId="3" borderId="11" xfId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165" fontId="8" fillId="0" borderId="11" xfId="1" applyFont="1" applyBorder="1" applyAlignment="1" applyProtection="1">
      <alignment horizontal="center" vertical="center"/>
    </xf>
    <xf numFmtId="165" fontId="8" fillId="7" borderId="11" xfId="1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165" fontId="8" fillId="5" borderId="11" xfId="1" applyFont="1" applyFill="1" applyBorder="1" applyAlignment="1" applyProtection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 wrapText="1"/>
    </xf>
    <xf numFmtId="165" fontId="8" fillId="8" borderId="11" xfId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 wrapText="1"/>
    </xf>
    <xf numFmtId="165" fontId="4" fillId="9" borderId="7" xfId="1" applyFont="1" applyFill="1" applyBorder="1" applyAlignment="1" applyProtection="1">
      <alignment horizontal="center" vertical="center"/>
    </xf>
    <xf numFmtId="165" fontId="4" fillId="9" borderId="11" xfId="1" applyFont="1" applyFill="1" applyBorder="1" applyAlignment="1" applyProtection="1">
      <alignment horizontal="center" vertical="center"/>
    </xf>
    <xf numFmtId="0" fontId="0" fillId="12" borderId="6" xfId="0" applyFont="1" applyFill="1" applyBorder="1" applyAlignment="1">
      <alignment horizontal="center" vertical="center"/>
    </xf>
    <xf numFmtId="0" fontId="0" fillId="12" borderId="7" xfId="0" applyFont="1" applyFill="1" applyBorder="1" applyAlignment="1">
      <alignment horizontal="center" vertical="center"/>
    </xf>
    <xf numFmtId="0" fontId="0" fillId="12" borderId="7" xfId="0" applyFont="1" applyFill="1" applyBorder="1" applyAlignment="1">
      <alignment horizontal="center" vertical="center" wrapText="1"/>
    </xf>
    <xf numFmtId="165" fontId="0" fillId="12" borderId="7" xfId="1" applyFont="1" applyFill="1" applyBorder="1" applyAlignment="1" applyProtection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10" borderId="17" xfId="0" applyFont="1" applyFill="1" applyBorder="1" applyAlignment="1">
      <alignment horizontal="center" vertical="center"/>
    </xf>
    <xf numFmtId="0" fontId="4" fillId="13" borderId="0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/>
    </xf>
    <xf numFmtId="0" fontId="4" fillId="13" borderId="10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 wrapText="1"/>
    </xf>
    <xf numFmtId="164" fontId="11" fillId="9" borderId="7" xfId="0" applyNumberFormat="1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 wrapText="1"/>
    </xf>
    <xf numFmtId="165" fontId="12" fillId="12" borderId="11" xfId="1" applyFont="1" applyFill="1" applyBorder="1" applyAlignment="1" applyProtection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EB91E"/>
      <rgbColor rgb="FF800080"/>
      <rgbColor rgb="FF008080"/>
      <rgbColor rgb="FFC4BD97"/>
      <rgbColor rgb="FF77BC65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2D050"/>
      <rgbColor rgb="FFFF99CC"/>
      <rgbColor rgb="FFCC99FF"/>
      <rgbColor rgb="FF90C74D"/>
      <rgbColor rgb="FF3366FF"/>
      <rgbColor rgb="FF33CCCC"/>
      <rgbColor rgb="FF81D41A"/>
      <rgbColor rgb="FFFFCC00"/>
      <rgbColor rgb="FFFF9900"/>
      <rgbColor rgb="FFE46C0A"/>
      <rgbColor rgb="FF558ED5"/>
      <rgbColor rgb="FFA6A6A6"/>
      <rgbColor rgb="FF003366"/>
      <rgbColor rgb="FF58AD42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J44"/>
  <sheetViews>
    <sheetView tabSelected="1" zoomScale="115" zoomScaleNormal="115" workbookViewId="0">
      <pane ySplit="3" topLeftCell="A24" activePane="bottomLeft" state="frozen"/>
      <selection pane="bottomLeft" activeCell="F40" sqref="F40"/>
    </sheetView>
  </sheetViews>
  <sheetFormatPr defaultColWidth="9.140625" defaultRowHeight="15" x14ac:dyDescent="0.25"/>
  <cols>
    <col min="1" max="1" width="15.5703125" style="1" customWidth="1"/>
    <col min="2" max="2" width="26.28515625" style="1" bestFit="1" customWidth="1"/>
    <col min="3" max="3" width="26.42578125" style="2" customWidth="1"/>
    <col min="4" max="4" width="21.140625" style="3" customWidth="1"/>
    <col min="5" max="5" width="12.7109375" style="1" customWidth="1"/>
    <col min="6" max="6" width="8.140625" style="1" customWidth="1"/>
    <col min="7" max="7" width="14.28515625" style="1" customWidth="1"/>
    <col min="8" max="8" width="14.85546875" style="4" customWidth="1"/>
    <col min="9" max="9" width="13.28515625" style="1" customWidth="1"/>
    <col min="10" max="1024" width="9.140625" style="1"/>
  </cols>
  <sheetData>
    <row r="2" spans="1:9" ht="30" customHeight="1" x14ac:dyDescent="0.25">
      <c r="A2" s="212" t="s">
        <v>0</v>
      </c>
      <c r="B2" s="212"/>
      <c r="C2" s="212"/>
      <c r="D2" s="212"/>
      <c r="E2" s="212"/>
      <c r="F2" s="212"/>
      <c r="G2" s="212"/>
      <c r="H2" s="212"/>
    </row>
    <row r="3" spans="1:9" s="3" customFormat="1" ht="30.75" thickBot="1" x14ac:dyDescent="0.3">
      <c r="A3" s="5" t="s">
        <v>1</v>
      </c>
      <c r="B3" s="6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7" t="s">
        <v>7</v>
      </c>
      <c r="H3" s="11" t="s">
        <v>8</v>
      </c>
    </row>
    <row r="4" spans="1:9" hidden="1" x14ac:dyDescent="0.25">
      <c r="A4" s="44">
        <v>7</v>
      </c>
      <c r="B4" s="30" t="s">
        <v>12</v>
      </c>
      <c r="C4" s="31" t="s">
        <v>13</v>
      </c>
      <c r="D4" s="45">
        <v>3</v>
      </c>
      <c r="E4" s="30" t="s">
        <v>14</v>
      </c>
      <c r="F4" s="30">
        <v>103.5</v>
      </c>
      <c r="G4" s="30">
        <v>119</v>
      </c>
      <c r="H4" s="46">
        <f>(F4*9000*1.08*1.1/0.82+45000)*1.1/0.86</f>
        <v>1783712.7056154287</v>
      </c>
      <c r="I4" s="38"/>
    </row>
    <row r="5" spans="1:9" hidden="1" x14ac:dyDescent="0.25">
      <c r="A5" s="47">
        <v>8</v>
      </c>
      <c r="B5" s="27" t="s">
        <v>12</v>
      </c>
      <c r="C5" s="28" t="s">
        <v>15</v>
      </c>
      <c r="D5" s="48">
        <v>3</v>
      </c>
      <c r="E5" s="27" t="s">
        <v>14</v>
      </c>
      <c r="F5" s="27">
        <v>103.5</v>
      </c>
      <c r="G5" s="27">
        <v>119</v>
      </c>
      <c r="H5" s="46">
        <f>(F5*9000*1.08*1.1/0.82+45000)*1.1/0.86</f>
        <v>1783712.7056154287</v>
      </c>
      <c r="I5" s="38"/>
    </row>
    <row r="6" spans="1:9" hidden="1" x14ac:dyDescent="0.25">
      <c r="A6" s="47">
        <v>9</v>
      </c>
      <c r="B6" s="27" t="s">
        <v>12</v>
      </c>
      <c r="C6" s="28" t="s">
        <v>17</v>
      </c>
      <c r="D6" s="48">
        <v>3</v>
      </c>
      <c r="E6" s="27" t="s">
        <v>16</v>
      </c>
      <c r="F6" s="27">
        <v>141.5</v>
      </c>
      <c r="G6" s="27">
        <v>165</v>
      </c>
      <c r="H6" s="46">
        <f>(F6*9000*1.04*1.1/0.82)*1.1/0.86*1.12</f>
        <v>2545208.5762904147</v>
      </c>
      <c r="I6" s="38"/>
    </row>
    <row r="7" spans="1:9" hidden="1" x14ac:dyDescent="0.25">
      <c r="A7" s="49">
        <v>10</v>
      </c>
      <c r="B7" s="33" t="s">
        <v>12</v>
      </c>
      <c r="C7" s="34" t="s">
        <v>18</v>
      </c>
      <c r="D7" s="50">
        <v>3</v>
      </c>
      <c r="E7" s="33" t="s">
        <v>16</v>
      </c>
      <c r="F7" s="33">
        <v>141.5</v>
      </c>
      <c r="G7" s="33">
        <v>165</v>
      </c>
      <c r="H7" s="46">
        <f>(F7*9000*1.04*1.1/0.82)*1.1/0.86*1.12</f>
        <v>2545208.5762904147</v>
      </c>
      <c r="I7" s="38"/>
    </row>
    <row r="8" spans="1:9" s="39" customFormat="1" hidden="1" x14ac:dyDescent="0.25">
      <c r="A8" s="35">
        <v>11</v>
      </c>
      <c r="B8" s="36" t="s">
        <v>12</v>
      </c>
      <c r="C8" s="37" t="s">
        <v>13</v>
      </c>
      <c r="D8" s="36">
        <v>4</v>
      </c>
      <c r="E8" s="36" t="s">
        <v>14</v>
      </c>
      <c r="F8" s="36">
        <v>103.5</v>
      </c>
      <c r="G8" s="36">
        <v>119</v>
      </c>
      <c r="H8" s="43">
        <f>(F8*9000*1.08*1.1/0.82+80000)*1.1/0.86</f>
        <v>1828480.1474758938</v>
      </c>
      <c r="I8" s="38"/>
    </row>
    <row r="9" spans="1:9" s="39" customFormat="1" hidden="1" x14ac:dyDescent="0.25">
      <c r="A9" s="40">
        <v>12</v>
      </c>
      <c r="B9" s="41" t="s">
        <v>12</v>
      </c>
      <c r="C9" s="42" t="s">
        <v>15</v>
      </c>
      <c r="D9" s="41">
        <v>4</v>
      </c>
      <c r="E9" s="41" t="s">
        <v>14</v>
      </c>
      <c r="F9" s="41">
        <v>103.5</v>
      </c>
      <c r="G9" s="41">
        <v>119</v>
      </c>
      <c r="H9" s="43">
        <f>(F9*9000*1.08*1.1/0.82+80000)*1.1/0.86</f>
        <v>1828480.1474758938</v>
      </c>
      <c r="I9" s="38"/>
    </row>
    <row r="10" spans="1:9" s="39" customFormat="1" hidden="1" x14ac:dyDescent="0.25">
      <c r="A10" s="40">
        <v>13</v>
      </c>
      <c r="B10" s="41" t="s">
        <v>12</v>
      </c>
      <c r="C10" s="42" t="s">
        <v>17</v>
      </c>
      <c r="D10" s="41">
        <v>4</v>
      </c>
      <c r="E10" s="41" t="s">
        <v>16</v>
      </c>
      <c r="F10" s="41">
        <v>141.5</v>
      </c>
      <c r="G10" s="41">
        <v>165</v>
      </c>
      <c r="H10" s="43">
        <f>(F10*9000*1.08*1.1/0.82)*1.1/0.86*1.12</f>
        <v>2643101.2138400464</v>
      </c>
      <c r="I10" s="38"/>
    </row>
    <row r="11" spans="1:9" s="39" customFormat="1" hidden="1" x14ac:dyDescent="0.25">
      <c r="A11" s="51">
        <v>14</v>
      </c>
      <c r="B11" s="52" t="s">
        <v>12</v>
      </c>
      <c r="C11" s="53" t="s">
        <v>18</v>
      </c>
      <c r="D11" s="52">
        <v>4</v>
      </c>
      <c r="E11" s="52" t="s">
        <v>16</v>
      </c>
      <c r="F11" s="52">
        <v>141.5</v>
      </c>
      <c r="G11" s="52">
        <v>165</v>
      </c>
      <c r="H11" s="43">
        <f>(F11*9000*1.08*1.1/0.82)*1.1/0.86*1.12</f>
        <v>2643101.2138400464</v>
      </c>
      <c r="I11" s="38"/>
    </row>
    <row r="12" spans="1:9" hidden="1" x14ac:dyDescent="0.25">
      <c r="A12" s="44">
        <v>15</v>
      </c>
      <c r="B12" s="30" t="s">
        <v>12</v>
      </c>
      <c r="C12" s="31" t="s">
        <v>13</v>
      </c>
      <c r="D12" s="45">
        <v>5</v>
      </c>
      <c r="E12" s="30" t="s">
        <v>14</v>
      </c>
      <c r="F12" s="30">
        <v>103.5</v>
      </c>
      <c r="G12" s="30">
        <v>119</v>
      </c>
      <c r="H12" s="46">
        <f>(F12*9000*1.16*1.1/0.82+15000)*1.1/0.86</f>
        <v>1873203.9137833244</v>
      </c>
      <c r="I12" s="38"/>
    </row>
    <row r="13" spans="1:9" hidden="1" x14ac:dyDescent="0.25">
      <c r="A13" s="47">
        <v>16</v>
      </c>
      <c r="B13" s="27" t="s">
        <v>12</v>
      </c>
      <c r="C13" s="28" t="s">
        <v>15</v>
      </c>
      <c r="D13" s="48">
        <v>5</v>
      </c>
      <c r="E13" s="27" t="s">
        <v>14</v>
      </c>
      <c r="F13" s="27">
        <v>103.5</v>
      </c>
      <c r="G13" s="27">
        <v>119</v>
      </c>
      <c r="H13" s="46">
        <f>(F13*9000*1.16*1.1/0.82+15000)*1.1/0.86</f>
        <v>1873203.9137833244</v>
      </c>
      <c r="I13" s="38"/>
    </row>
    <row r="14" spans="1:9" hidden="1" x14ac:dyDescent="0.25">
      <c r="A14" s="47">
        <v>17</v>
      </c>
      <c r="B14" s="27" t="s">
        <v>12</v>
      </c>
      <c r="C14" s="28" t="s">
        <v>17</v>
      </c>
      <c r="D14" s="48">
        <v>5</v>
      </c>
      <c r="E14" s="27" t="s">
        <v>16</v>
      </c>
      <c r="F14" s="27">
        <v>141.5</v>
      </c>
      <c r="G14" s="27">
        <v>165</v>
      </c>
      <c r="H14" s="46">
        <f>(F14*9000*1.12*1.1/0.82)*1.1/0.86*1.12</f>
        <v>2740993.8513896787</v>
      </c>
      <c r="I14" s="38"/>
    </row>
    <row r="15" spans="1:9" hidden="1" x14ac:dyDescent="0.25">
      <c r="A15" s="49">
        <v>18</v>
      </c>
      <c r="B15" s="33" t="s">
        <v>12</v>
      </c>
      <c r="C15" s="34" t="s">
        <v>18</v>
      </c>
      <c r="D15" s="50">
        <v>5</v>
      </c>
      <c r="E15" s="33" t="s">
        <v>16</v>
      </c>
      <c r="F15" s="33">
        <v>141.5</v>
      </c>
      <c r="G15" s="33">
        <v>165</v>
      </c>
      <c r="H15" s="46">
        <f>(F15*9000*1.12*1.1/0.82)*1.1/0.86*1.12</f>
        <v>2740993.8513896787</v>
      </c>
      <c r="I15" s="38"/>
    </row>
    <row r="16" spans="1:9" s="39" customFormat="1" hidden="1" x14ac:dyDescent="0.25">
      <c r="A16" s="54">
        <v>19</v>
      </c>
      <c r="B16" s="55" t="s">
        <v>12</v>
      </c>
      <c r="C16" s="56" t="s">
        <v>13</v>
      </c>
      <c r="D16" s="55">
        <v>6</v>
      </c>
      <c r="E16" s="55" t="s">
        <v>14</v>
      </c>
      <c r="F16" s="55">
        <v>103.5</v>
      </c>
      <c r="G16" s="55">
        <v>119</v>
      </c>
      <c r="H16" s="57">
        <f>(F16*9000*1.2*1.1/0.82+15000)*1.1/0.86</f>
        <v>1937135.5643788998</v>
      </c>
      <c r="I16" s="38"/>
    </row>
    <row r="17" spans="1:9" s="39" customFormat="1" hidden="1" x14ac:dyDescent="0.25">
      <c r="A17" s="40">
        <v>20</v>
      </c>
      <c r="B17" s="41" t="s">
        <v>12</v>
      </c>
      <c r="C17" s="42" t="s">
        <v>15</v>
      </c>
      <c r="D17" s="41">
        <v>6</v>
      </c>
      <c r="E17" s="41" t="s">
        <v>14</v>
      </c>
      <c r="F17" s="41">
        <v>103.5</v>
      </c>
      <c r="G17" s="41">
        <v>119</v>
      </c>
      <c r="H17" s="58">
        <f>(F17*9000*1.2*1.1/0.82+15000)*1.1/0.86</f>
        <v>1937135.5643788998</v>
      </c>
      <c r="I17" s="38"/>
    </row>
    <row r="18" spans="1:9" s="39" customFormat="1" hidden="1" x14ac:dyDescent="0.25">
      <c r="A18" s="40">
        <v>21</v>
      </c>
      <c r="B18" s="41" t="s">
        <v>12</v>
      </c>
      <c r="C18" s="42" t="s">
        <v>17</v>
      </c>
      <c r="D18" s="41">
        <v>6</v>
      </c>
      <c r="E18" s="41" t="s">
        <v>16</v>
      </c>
      <c r="F18" s="41">
        <v>141.5</v>
      </c>
      <c r="G18" s="41">
        <v>165</v>
      </c>
      <c r="H18" s="43">
        <f>(F18*9000*1.16*1.1/0.82)*1.1/0.86*1.125</f>
        <v>2851560.0893363594</v>
      </c>
      <c r="I18" s="38"/>
    </row>
    <row r="19" spans="1:9" s="39" customFormat="1" hidden="1" x14ac:dyDescent="0.25">
      <c r="A19" s="51">
        <v>22</v>
      </c>
      <c r="B19" s="52" t="s">
        <v>12</v>
      </c>
      <c r="C19" s="53" t="s">
        <v>18</v>
      </c>
      <c r="D19" s="52">
        <v>6</v>
      </c>
      <c r="E19" s="52" t="s">
        <v>16</v>
      </c>
      <c r="F19" s="52">
        <v>141.5</v>
      </c>
      <c r="G19" s="52">
        <v>165</v>
      </c>
      <c r="H19" s="43">
        <f>(F19*9000*1.16*1.1/0.82)*1.1/0.86*1.125</f>
        <v>2851560.0893363594</v>
      </c>
      <c r="I19" s="38"/>
    </row>
    <row r="20" spans="1:9" hidden="1" x14ac:dyDescent="0.25">
      <c r="A20" s="47">
        <v>25</v>
      </c>
      <c r="B20" s="27" t="s">
        <v>12</v>
      </c>
      <c r="C20" s="28" t="s">
        <v>17</v>
      </c>
      <c r="D20" s="48">
        <v>7</v>
      </c>
      <c r="E20" s="27" t="s">
        <v>16</v>
      </c>
      <c r="F20" s="27">
        <v>141.5</v>
      </c>
      <c r="G20" s="27">
        <v>165</v>
      </c>
      <c r="H20" s="46">
        <f>(F20*9000*1.2*1.1/0.82)*1.1/0.86*1.125</f>
        <v>2949889.7475893372</v>
      </c>
      <c r="I20" s="38"/>
    </row>
    <row r="21" spans="1:9" hidden="1" x14ac:dyDescent="0.25">
      <c r="A21" s="49">
        <v>26</v>
      </c>
      <c r="B21" s="33" t="s">
        <v>12</v>
      </c>
      <c r="C21" s="34" t="s">
        <v>18</v>
      </c>
      <c r="D21" s="50">
        <v>7</v>
      </c>
      <c r="E21" s="33" t="s">
        <v>16</v>
      </c>
      <c r="F21" s="33">
        <v>141.5</v>
      </c>
      <c r="G21" s="33">
        <v>165</v>
      </c>
      <c r="H21" s="46">
        <f>(F21*9000*1.2*1.1/0.82)*1.1/0.86*1.125</f>
        <v>2949889.7475893372</v>
      </c>
      <c r="I21" s="38"/>
    </row>
    <row r="22" spans="1:9" s="39" customFormat="1" hidden="1" x14ac:dyDescent="0.25">
      <c r="A22" s="62">
        <v>29</v>
      </c>
      <c r="B22" s="63" t="s">
        <v>12</v>
      </c>
      <c r="C22" s="64" t="s">
        <v>17</v>
      </c>
      <c r="D22" s="63">
        <v>8</v>
      </c>
      <c r="E22" s="63" t="s">
        <v>16</v>
      </c>
      <c r="F22" s="63">
        <v>141.5</v>
      </c>
      <c r="G22" s="63">
        <v>165</v>
      </c>
      <c r="H22" s="57">
        <f>(F22*9000*1.24*1.1/0.82+175000)*1.1/0.86*1.06</f>
        <v>3109367.5042541134</v>
      </c>
      <c r="I22" s="38"/>
    </row>
    <row r="23" spans="1:9" s="39" customFormat="1" hidden="1" x14ac:dyDescent="0.25">
      <c r="A23" s="40">
        <v>30</v>
      </c>
      <c r="B23" s="41" t="s">
        <v>12</v>
      </c>
      <c r="C23" s="42" t="s">
        <v>18</v>
      </c>
      <c r="D23" s="41">
        <v>8</v>
      </c>
      <c r="E23" s="41" t="s">
        <v>16</v>
      </c>
      <c r="F23" s="41">
        <v>141.5</v>
      </c>
      <c r="G23" s="41">
        <v>165</v>
      </c>
      <c r="H23" s="43">
        <f>(F23*9000*1.24*1.1/0.82+175000)*1.1/0.86*1.06</f>
        <v>3109367.5042541134</v>
      </c>
      <c r="I23" s="38"/>
    </row>
    <row r="24" spans="1:9" x14ac:dyDescent="0.25">
      <c r="A24" s="60">
        <v>32</v>
      </c>
      <c r="B24" s="25" t="s">
        <v>12</v>
      </c>
      <c r="C24" s="24" t="s">
        <v>15</v>
      </c>
      <c r="D24" s="61">
        <v>9</v>
      </c>
      <c r="E24" s="25" t="s">
        <v>14</v>
      </c>
      <c r="F24" s="25">
        <v>103.5</v>
      </c>
      <c r="G24" s="25">
        <v>119</v>
      </c>
      <c r="H24" s="26" t="s">
        <v>41</v>
      </c>
      <c r="I24" s="38"/>
    </row>
    <row r="25" spans="1:9" hidden="1" x14ac:dyDescent="0.25">
      <c r="A25" s="49">
        <v>34</v>
      </c>
      <c r="B25" s="33" t="s">
        <v>12</v>
      </c>
      <c r="C25" s="65" t="s">
        <v>18</v>
      </c>
      <c r="D25" s="66">
        <v>9</v>
      </c>
      <c r="E25" s="67" t="s">
        <v>16</v>
      </c>
      <c r="F25" s="67">
        <v>141.5</v>
      </c>
      <c r="G25" s="67">
        <v>165</v>
      </c>
      <c r="H25" s="68">
        <f>(F25*9000*1.28*1.1/0.82+207000)*1.1/0.86*1.06</f>
        <v>3245401.9398752139</v>
      </c>
      <c r="I25" s="38"/>
    </row>
    <row r="26" spans="1:9" s="39" customFormat="1" x14ac:dyDescent="0.25">
      <c r="A26" s="15">
        <v>36</v>
      </c>
      <c r="B26" s="17" t="s">
        <v>12</v>
      </c>
      <c r="C26" s="16" t="s">
        <v>15</v>
      </c>
      <c r="D26" s="17">
        <v>10</v>
      </c>
      <c r="E26" s="17" t="s">
        <v>14</v>
      </c>
      <c r="F26" s="17">
        <v>103.5</v>
      </c>
      <c r="G26" s="17">
        <v>119</v>
      </c>
      <c r="H26" s="18">
        <f>(F26*9000*1.36*1.1/0.82+15000)*1.1/0.86*3.11/0.8173</f>
        <v>8344306.0548480852</v>
      </c>
      <c r="I26" s="38"/>
    </row>
    <row r="27" spans="1:9" s="39" customFormat="1" hidden="1" x14ac:dyDescent="0.25">
      <c r="A27" s="51">
        <v>38</v>
      </c>
      <c r="B27" s="52" t="s">
        <v>12</v>
      </c>
      <c r="C27" s="53" t="s">
        <v>18</v>
      </c>
      <c r="D27" s="52">
        <v>10</v>
      </c>
      <c r="E27" s="52" t="s">
        <v>16</v>
      </c>
      <c r="F27" s="52">
        <v>141.5</v>
      </c>
      <c r="G27" s="52">
        <v>165</v>
      </c>
      <c r="H27" s="43">
        <f>(F27*9000*1.32*1.1/0.82+238000)*1.1/0.86*1.06</f>
        <v>3380080.5615428253</v>
      </c>
      <c r="I27" s="38"/>
    </row>
    <row r="28" spans="1:9" hidden="1" x14ac:dyDescent="0.25">
      <c r="A28" s="44">
        <v>39</v>
      </c>
      <c r="B28" s="30" t="s">
        <v>12</v>
      </c>
      <c r="C28" s="31" t="s">
        <v>13</v>
      </c>
      <c r="D28" s="45">
        <v>11</v>
      </c>
      <c r="E28" s="30" t="s">
        <v>14</v>
      </c>
      <c r="F28" s="30">
        <v>103.5</v>
      </c>
      <c r="G28" s="30">
        <v>119</v>
      </c>
      <c r="H28" s="46">
        <f>(F28*9000*1.4*1.1/0.82+15000)*1.1/0.86</f>
        <v>2256793.8173567788</v>
      </c>
      <c r="I28" s="38"/>
    </row>
    <row r="29" spans="1:9" hidden="1" x14ac:dyDescent="0.25">
      <c r="A29" s="69">
        <v>40</v>
      </c>
      <c r="B29" s="70" t="s">
        <v>12</v>
      </c>
      <c r="C29" s="71" t="s">
        <v>18</v>
      </c>
      <c r="D29" s="72">
        <v>11</v>
      </c>
      <c r="E29" s="70" t="s">
        <v>16</v>
      </c>
      <c r="F29" s="70">
        <v>141.5</v>
      </c>
      <c r="G29" s="70">
        <v>165</v>
      </c>
      <c r="H29" s="26">
        <f>(F29*9000*1.36*1.1/0.82+270000)*1.1/0.86*1.06</f>
        <v>3516114.9971639263</v>
      </c>
      <c r="I29" s="38"/>
    </row>
    <row r="30" spans="1:9" s="39" customFormat="1" hidden="1" x14ac:dyDescent="0.25">
      <c r="A30" s="51">
        <v>42</v>
      </c>
      <c r="B30" s="52" t="s">
        <v>12</v>
      </c>
      <c r="C30" s="73" t="s">
        <v>18</v>
      </c>
      <c r="D30" s="74">
        <v>12</v>
      </c>
      <c r="E30" s="74" t="s">
        <v>16</v>
      </c>
      <c r="F30" s="74">
        <v>141.5</v>
      </c>
      <c r="G30" s="74">
        <v>165</v>
      </c>
      <c r="H30" s="75">
        <f>(F30*9000*1.4*1.1/0.82+302000)*1.1/0.86*1.05</f>
        <v>3617695.1928530927</v>
      </c>
      <c r="I30" s="38"/>
    </row>
    <row r="32" spans="1:9" x14ac:dyDescent="0.25">
      <c r="C32" s="195" t="s">
        <v>32</v>
      </c>
      <c r="D32" s="196" t="s">
        <v>37</v>
      </c>
    </row>
    <row r="33" spans="2:1024" x14ac:dyDescent="0.25">
      <c r="C33" s="195" t="s">
        <v>33</v>
      </c>
      <c r="D33" s="196" t="s">
        <v>38</v>
      </c>
    </row>
    <row r="34" spans="2:1024" ht="15.75" x14ac:dyDescent="0.25">
      <c r="C34" s="191" t="s">
        <v>36</v>
      </c>
      <c r="D34" s="207">
        <v>4973000</v>
      </c>
    </row>
    <row r="35" spans="2:1024" ht="15.75" x14ac:dyDescent="0.25">
      <c r="C35" s="191" t="s">
        <v>34</v>
      </c>
      <c r="D35" s="192" t="s">
        <v>42</v>
      </c>
    </row>
    <row r="36" spans="2:1024" ht="15.75" x14ac:dyDescent="0.25">
      <c r="C36" s="191" t="s">
        <v>35</v>
      </c>
      <c r="D36" s="192" t="s">
        <v>48</v>
      </c>
    </row>
    <row r="37" spans="2:1024" ht="15.75" x14ac:dyDescent="0.25">
      <c r="C37" s="197" t="s">
        <v>46</v>
      </c>
      <c r="D37" s="199" t="s">
        <v>45</v>
      </c>
      <c r="E37" s="4"/>
      <c r="H37" s="1"/>
      <c r="AMH37"/>
      <c r="AMI37"/>
      <c r="AMJ37"/>
    </row>
    <row r="38" spans="2:1024" x14ac:dyDescent="0.25">
      <c r="C38" s="193"/>
      <c r="D38" s="194"/>
      <c r="E38" s="4"/>
      <c r="H38" s="1"/>
      <c r="AMH38"/>
      <c r="AMI38"/>
      <c r="AMJ38"/>
    </row>
    <row r="39" spans="2:1024" x14ac:dyDescent="0.25">
      <c r="C39" s="193"/>
      <c r="D39" s="194"/>
      <c r="E39" s="4"/>
      <c r="H39" s="1"/>
      <c r="AMH39"/>
      <c r="AMI39"/>
      <c r="AMJ39"/>
    </row>
    <row r="40" spans="2:1024" x14ac:dyDescent="0.25">
      <c r="C40" s="193"/>
      <c r="D40" s="194"/>
      <c r="E40" s="4"/>
      <c r="H40" s="1"/>
      <c r="AMH40"/>
      <c r="AMI40"/>
      <c r="AMJ40"/>
    </row>
    <row r="41" spans="2:1024" x14ac:dyDescent="0.25">
      <c r="C41" s="1"/>
      <c r="D41" s="1"/>
      <c r="E41" s="4"/>
      <c r="H41" s="1"/>
      <c r="AMH41"/>
      <c r="AMI41"/>
      <c r="AMJ41"/>
    </row>
    <row r="42" spans="2:1024" x14ac:dyDescent="0.25">
      <c r="C42" s="1"/>
      <c r="D42" s="1"/>
      <c r="E42" s="4"/>
      <c r="H42" s="1"/>
      <c r="AMH42"/>
      <c r="AMI42"/>
      <c r="AMJ42"/>
    </row>
    <row r="43" spans="2:1024" x14ac:dyDescent="0.25">
      <c r="B43" s="3"/>
      <c r="C43" s="1"/>
      <c r="D43" s="1"/>
      <c r="F43" s="4"/>
      <c r="H43" s="1"/>
      <c r="AMI43"/>
      <c r="AMJ43"/>
    </row>
    <row r="44" spans="2:1024" x14ac:dyDescent="0.25">
      <c r="B44" s="3"/>
      <c r="C44" s="1"/>
      <c r="D44" s="1"/>
      <c r="F44" s="4"/>
      <c r="H44" s="1"/>
      <c r="AMI44"/>
      <c r="AMJ44"/>
    </row>
  </sheetData>
  <autoFilter ref="A3:H30" xr:uid="{00000000-0009-0000-0000-000000000000}"/>
  <mergeCells count="1">
    <mergeCell ref="A2:H2"/>
  </mergeCells>
  <pageMargins left="0.7" right="0.7" top="0.75" bottom="0.75" header="0.51180555555555496" footer="0.51180555555555496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J29"/>
  <sheetViews>
    <sheetView topLeftCell="B1" zoomScale="115" zoomScaleNormal="115" workbookViewId="0">
      <pane ySplit="3" topLeftCell="A10" activePane="bottomLeft" state="frozen"/>
      <selection pane="bottomLeft" activeCell="D23" sqref="D23"/>
    </sheetView>
  </sheetViews>
  <sheetFormatPr defaultColWidth="9.85546875" defaultRowHeight="15" x14ac:dyDescent="0.25"/>
  <cols>
    <col min="1" max="1" width="15.5703125" style="1" customWidth="1"/>
    <col min="2" max="2" width="12.140625" style="1" customWidth="1"/>
    <col min="3" max="3" width="28.7109375" style="2" customWidth="1"/>
    <col min="4" max="4" width="21.140625" style="3" customWidth="1"/>
    <col min="5" max="5" width="12.7109375" style="1" customWidth="1"/>
    <col min="6" max="6" width="8.140625" style="1" customWidth="1"/>
    <col min="7" max="7" width="14.28515625" style="1" customWidth="1"/>
    <col min="8" max="8" width="14.85546875" style="4" customWidth="1"/>
    <col min="9" max="1024" width="9.85546875" style="1"/>
  </cols>
  <sheetData>
    <row r="2" spans="1:9" ht="30" customHeight="1" x14ac:dyDescent="0.25">
      <c r="A2" s="212" t="s">
        <v>19</v>
      </c>
      <c r="B2" s="212"/>
      <c r="C2" s="212"/>
      <c r="D2" s="212"/>
      <c r="E2" s="212"/>
      <c r="F2" s="212"/>
      <c r="G2" s="212"/>
      <c r="H2" s="212"/>
    </row>
    <row r="3" spans="1:9" s="3" customFormat="1" ht="30.75" thickBot="1" x14ac:dyDescent="0.3">
      <c r="A3" s="5" t="s">
        <v>1</v>
      </c>
      <c r="B3" s="6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7" t="s">
        <v>7</v>
      </c>
      <c r="H3" s="11" t="s">
        <v>8</v>
      </c>
    </row>
    <row r="4" spans="1:9" s="39" customFormat="1" hidden="1" x14ac:dyDescent="0.25">
      <c r="A4" s="40">
        <v>21</v>
      </c>
      <c r="B4" s="41" t="s">
        <v>12</v>
      </c>
      <c r="C4" s="42" t="s">
        <v>17</v>
      </c>
      <c r="D4" s="41">
        <v>6</v>
      </c>
      <c r="E4" s="41" t="s">
        <v>16</v>
      </c>
      <c r="F4" s="41">
        <v>141.5</v>
      </c>
      <c r="G4" s="41">
        <v>165</v>
      </c>
      <c r="H4" s="43">
        <f>(F4*9000*1.16*1.1/0.82)*1.1/0.86*1.125</f>
        <v>2851560.0893363594</v>
      </c>
    </row>
    <row r="5" spans="1:9" s="39" customFormat="1" hidden="1" x14ac:dyDescent="0.25">
      <c r="A5" s="51">
        <v>22</v>
      </c>
      <c r="B5" s="52" t="s">
        <v>12</v>
      </c>
      <c r="C5" s="53" t="s">
        <v>18</v>
      </c>
      <c r="D5" s="52">
        <v>6</v>
      </c>
      <c r="E5" s="52" t="s">
        <v>16</v>
      </c>
      <c r="F5" s="52">
        <v>141.5</v>
      </c>
      <c r="G5" s="52">
        <v>165</v>
      </c>
      <c r="H5" s="43">
        <f>(F5*9000*1.16*1.1/0.82)*1.1/0.86*1.125</f>
        <v>2851560.0893363594</v>
      </c>
    </row>
    <row r="6" spans="1:9" hidden="1" x14ac:dyDescent="0.25">
      <c r="A6" s="47">
        <v>25</v>
      </c>
      <c r="B6" s="27" t="s">
        <v>12</v>
      </c>
      <c r="C6" s="28" t="s">
        <v>17</v>
      </c>
      <c r="D6" s="48">
        <v>7</v>
      </c>
      <c r="E6" s="27" t="s">
        <v>16</v>
      </c>
      <c r="F6" s="27">
        <v>141.5</v>
      </c>
      <c r="G6" s="27">
        <v>165</v>
      </c>
      <c r="H6" s="46">
        <f>(F6*9000*1.2*1.1/0.82)*1.1/0.86*1.125</f>
        <v>2949889.7475893372</v>
      </c>
    </row>
    <row r="7" spans="1:9" hidden="1" x14ac:dyDescent="0.25">
      <c r="A7" s="49">
        <v>26</v>
      </c>
      <c r="B7" s="33" t="s">
        <v>12</v>
      </c>
      <c r="C7" s="34" t="s">
        <v>18</v>
      </c>
      <c r="D7" s="50">
        <v>7</v>
      </c>
      <c r="E7" s="33" t="s">
        <v>16</v>
      </c>
      <c r="F7" s="33">
        <v>141.5</v>
      </c>
      <c r="G7" s="33">
        <v>165</v>
      </c>
      <c r="H7" s="46">
        <f>(F7*9000*1.2*1.1/0.82)*1.1/0.86*1.125</f>
        <v>2949889.7475893372</v>
      </c>
      <c r="I7" s="82"/>
    </row>
    <row r="8" spans="1:9" s="39" customFormat="1" hidden="1" x14ac:dyDescent="0.25">
      <c r="A8" s="40">
        <v>29</v>
      </c>
      <c r="B8" s="41" t="s">
        <v>12</v>
      </c>
      <c r="C8" s="42" t="s">
        <v>17</v>
      </c>
      <c r="D8" s="41">
        <v>8</v>
      </c>
      <c r="E8" s="41" t="s">
        <v>16</v>
      </c>
      <c r="F8" s="41">
        <v>141.5</v>
      </c>
      <c r="G8" s="41">
        <v>165</v>
      </c>
      <c r="H8" s="43">
        <f>(F8*9000*1.24*1.1/0.82+175000)*1.1/0.86*1.06</f>
        <v>3109367.5042541134</v>
      </c>
    </row>
    <row r="9" spans="1:9" s="39" customFormat="1" hidden="1" x14ac:dyDescent="0.25">
      <c r="A9" s="51">
        <v>30</v>
      </c>
      <c r="B9" s="52" t="s">
        <v>12</v>
      </c>
      <c r="C9" s="53" t="s">
        <v>18</v>
      </c>
      <c r="D9" s="52">
        <v>8</v>
      </c>
      <c r="E9" s="52" t="s">
        <v>16</v>
      </c>
      <c r="F9" s="52">
        <v>141.5</v>
      </c>
      <c r="G9" s="52">
        <v>165</v>
      </c>
      <c r="H9" s="43">
        <f>(F9*9000*1.24*1.1/0.82+175000)*1.1/0.86*1.06</f>
        <v>3109367.5042541134</v>
      </c>
      <c r="I9" s="38"/>
    </row>
    <row r="10" spans="1:9" s="3" customFormat="1" x14ac:dyDescent="0.25">
      <c r="A10" s="76">
        <v>31</v>
      </c>
      <c r="B10" s="59" t="s">
        <v>12</v>
      </c>
      <c r="C10" s="77" t="s">
        <v>13</v>
      </c>
      <c r="D10" s="59">
        <v>9</v>
      </c>
      <c r="E10" s="59" t="s">
        <v>14</v>
      </c>
      <c r="F10" s="59">
        <v>103.5</v>
      </c>
      <c r="G10" s="59">
        <v>119</v>
      </c>
      <c r="H10" s="26">
        <f>(F10*9000*1.32*1.1/0.82+15000)*1.1/0.86*3.175/0.82</f>
        <v>8243115.1083242269</v>
      </c>
      <c r="I10" s="38"/>
    </row>
    <row r="11" spans="1:9" s="3" customFormat="1" x14ac:dyDescent="0.25">
      <c r="A11" s="78">
        <v>32</v>
      </c>
      <c r="B11" s="61" t="s">
        <v>12</v>
      </c>
      <c r="C11" s="79" t="s">
        <v>15</v>
      </c>
      <c r="D11" s="61">
        <v>9</v>
      </c>
      <c r="E11" s="61" t="s">
        <v>14</v>
      </c>
      <c r="F11" s="61">
        <v>103.5</v>
      </c>
      <c r="G11" s="61">
        <v>119</v>
      </c>
      <c r="H11" s="26">
        <f>(F11*9000*1.32*1.1/0.82+15000)*1.1/0.86*3.175/0.82</f>
        <v>8243115.1083242269</v>
      </c>
      <c r="I11" s="38"/>
    </row>
    <row r="12" spans="1:9" hidden="1" x14ac:dyDescent="0.25">
      <c r="A12" s="47">
        <v>33</v>
      </c>
      <c r="B12" s="27" t="s">
        <v>12</v>
      </c>
      <c r="C12" s="28" t="s">
        <v>17</v>
      </c>
      <c r="D12" s="48">
        <v>9</v>
      </c>
      <c r="E12" s="27" t="s">
        <v>16</v>
      </c>
      <c r="F12" s="27">
        <v>141.5</v>
      </c>
      <c r="G12" s="27">
        <v>165</v>
      </c>
      <c r="H12" s="83">
        <f>(F12*9000*1.28*1.1/0.82+207000)*1.1/0.86*1.06</f>
        <v>3245401.9398752139</v>
      </c>
    </row>
    <row r="13" spans="1:9" s="39" customFormat="1" x14ac:dyDescent="0.25">
      <c r="A13" s="12">
        <v>35</v>
      </c>
      <c r="B13" s="14" t="s">
        <v>12</v>
      </c>
      <c r="C13" s="13" t="s">
        <v>13</v>
      </c>
      <c r="D13" s="14">
        <v>10</v>
      </c>
      <c r="E13" s="14" t="s">
        <v>14</v>
      </c>
      <c r="F13" s="14">
        <v>103.5</v>
      </c>
      <c r="G13" s="14">
        <v>119</v>
      </c>
      <c r="H13" s="26">
        <f>(F13*9000*1.32*1.1/0.82+15000)*1.1/0.86*3.175/0.81</f>
        <v>8344881.961513414</v>
      </c>
      <c r="I13" s="38"/>
    </row>
    <row r="14" spans="1:9" s="39" customFormat="1" x14ac:dyDescent="0.25">
      <c r="A14" s="15">
        <v>36</v>
      </c>
      <c r="B14" s="17" t="s">
        <v>12</v>
      </c>
      <c r="C14" s="16" t="s">
        <v>15</v>
      </c>
      <c r="D14" s="17">
        <v>10</v>
      </c>
      <c r="E14" s="17" t="s">
        <v>14</v>
      </c>
      <c r="F14" s="17">
        <v>103.5</v>
      </c>
      <c r="G14" s="17">
        <v>119</v>
      </c>
      <c r="H14" s="26">
        <f>(F14*9000*1.32*1.1/0.82+15000)*1.1/0.86*3.175/0.81</f>
        <v>8344881.961513414</v>
      </c>
      <c r="I14" s="38"/>
    </row>
    <row r="15" spans="1:9" s="39" customFormat="1" hidden="1" x14ac:dyDescent="0.25">
      <c r="A15" s="40">
        <v>37</v>
      </c>
      <c r="B15" s="41" t="s">
        <v>12</v>
      </c>
      <c r="C15" s="42" t="s">
        <v>17</v>
      </c>
      <c r="D15" s="41">
        <v>10</v>
      </c>
      <c r="E15" s="41" t="s">
        <v>16</v>
      </c>
      <c r="F15" s="41">
        <v>141.5</v>
      </c>
      <c r="G15" s="41">
        <v>165</v>
      </c>
      <c r="H15" s="18">
        <f t="shared" ref="H15" si="0">(F15*9000*1.36*1.1/0.82+15000)*1.1/0.86*3.11</f>
        <v>9301782.4390243944</v>
      </c>
    </row>
    <row r="16" spans="1:9" s="39" customFormat="1" ht="15.75" thickBot="1" x14ac:dyDescent="0.3">
      <c r="A16" s="19"/>
      <c r="B16" s="21"/>
      <c r="C16" s="20"/>
      <c r="D16" s="21"/>
      <c r="E16" s="21"/>
      <c r="F16" s="21"/>
      <c r="G16" s="21"/>
      <c r="H16" s="18"/>
    </row>
    <row r="17" spans="1:9" s="3" customFormat="1" x14ac:dyDescent="0.25">
      <c r="A17" s="76">
        <v>39</v>
      </c>
      <c r="B17" s="59" t="s">
        <v>12</v>
      </c>
      <c r="C17" s="77" t="s">
        <v>13</v>
      </c>
      <c r="D17" s="59">
        <v>11</v>
      </c>
      <c r="E17" s="59" t="s">
        <v>14</v>
      </c>
      <c r="F17" s="59">
        <v>103.5</v>
      </c>
      <c r="G17" s="59">
        <v>119</v>
      </c>
      <c r="H17" s="26">
        <v>0</v>
      </c>
      <c r="I17" s="38"/>
    </row>
    <row r="18" spans="1:9" x14ac:dyDescent="0.25">
      <c r="A18" s="84"/>
      <c r="B18" s="85"/>
      <c r="C18" s="86"/>
      <c r="D18" s="80"/>
      <c r="E18" s="85"/>
      <c r="F18" s="85"/>
      <c r="G18" s="85"/>
      <c r="H18" s="26"/>
    </row>
    <row r="19" spans="1:9" s="39" customFormat="1" x14ac:dyDescent="0.25">
      <c r="A19" s="12">
        <v>41</v>
      </c>
      <c r="B19" s="14" t="s">
        <v>12</v>
      </c>
      <c r="C19" s="13" t="s">
        <v>13</v>
      </c>
      <c r="D19" s="14">
        <v>12</v>
      </c>
      <c r="E19" s="14" t="s">
        <v>14</v>
      </c>
      <c r="F19" s="14">
        <v>103.5</v>
      </c>
      <c r="G19" s="14">
        <v>119</v>
      </c>
      <c r="H19" s="18">
        <f>(F19*9000*1.44*1.1/0.82+15000)*1.1/0.86*2.6*1.16/0.82</f>
        <v>8535741.4772491492</v>
      </c>
      <c r="I19" s="38"/>
    </row>
    <row r="21" spans="1:9" x14ac:dyDescent="0.25">
      <c r="C21" s="195" t="s">
        <v>32</v>
      </c>
      <c r="D21" s="196" t="s">
        <v>37</v>
      </c>
    </row>
    <row r="22" spans="1:9" x14ac:dyDescent="0.25">
      <c r="C22" s="195" t="s">
        <v>33</v>
      </c>
      <c r="D22" s="196" t="s">
        <v>38</v>
      </c>
    </row>
    <row r="23" spans="1:9" ht="15.75" x14ac:dyDescent="0.25">
      <c r="C23" s="191" t="s">
        <v>36</v>
      </c>
      <c r="D23" s="207">
        <v>4973000</v>
      </c>
    </row>
    <row r="24" spans="1:9" ht="15.75" x14ac:dyDescent="0.25">
      <c r="C24" s="191" t="s">
        <v>34</v>
      </c>
      <c r="D24" s="192" t="s">
        <v>42</v>
      </c>
    </row>
    <row r="25" spans="1:9" ht="15.75" x14ac:dyDescent="0.25">
      <c r="C25" s="191" t="s">
        <v>35</v>
      </c>
      <c r="D25" s="192" t="s">
        <v>48</v>
      </c>
    </row>
    <row r="26" spans="1:9" ht="15.75" x14ac:dyDescent="0.25">
      <c r="C26" s="197" t="s">
        <v>46</v>
      </c>
      <c r="D26" s="199" t="s">
        <v>45</v>
      </c>
      <c r="E26" s="4"/>
    </row>
    <row r="27" spans="1:9" x14ac:dyDescent="0.25">
      <c r="C27" s="193"/>
      <c r="D27" s="194"/>
      <c r="E27" s="4"/>
    </row>
    <row r="28" spans="1:9" x14ac:dyDescent="0.25">
      <c r="C28" s="193"/>
      <c r="D28" s="194"/>
      <c r="E28" s="4"/>
    </row>
    <row r="29" spans="1:9" x14ac:dyDescent="0.25">
      <c r="C29" s="193"/>
      <c r="D29" s="194"/>
      <c r="E29" s="4"/>
    </row>
  </sheetData>
  <autoFilter ref="A3:H19" xr:uid="{00000000-0009-0000-0000-000001000000}"/>
  <mergeCells count="1">
    <mergeCell ref="A2:H2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J71"/>
  <sheetViews>
    <sheetView topLeftCell="B1" zoomScaleNormal="100" workbookViewId="0">
      <pane ySplit="3" topLeftCell="A38" activePane="bottomLeft" state="frozen"/>
      <selection pane="bottomLeft" activeCell="D65" sqref="D65"/>
    </sheetView>
  </sheetViews>
  <sheetFormatPr defaultColWidth="15.7109375" defaultRowHeight="15" x14ac:dyDescent="0.25"/>
  <cols>
    <col min="1" max="1" width="15.5703125" style="1" customWidth="1"/>
    <col min="2" max="2" width="12.140625" style="1" customWidth="1"/>
    <col min="3" max="3" width="27" style="2" customWidth="1"/>
    <col min="4" max="4" width="21.140625" style="1" customWidth="1"/>
    <col min="5" max="5" width="12.7109375" style="1" customWidth="1"/>
    <col min="6" max="6" width="0.28515625" style="1" customWidth="1"/>
    <col min="7" max="7" width="14.28515625" style="87" customWidth="1"/>
    <col min="8" max="8" width="14.85546875" style="87" customWidth="1"/>
    <col min="9" max="1024" width="15.7109375" style="1"/>
  </cols>
  <sheetData>
    <row r="2" spans="1:8" ht="30" customHeight="1" x14ac:dyDescent="0.25">
      <c r="A2" s="213" t="s">
        <v>20</v>
      </c>
      <c r="B2" s="213"/>
      <c r="C2" s="213"/>
      <c r="D2" s="213"/>
      <c r="E2" s="213"/>
      <c r="F2" s="213"/>
      <c r="G2" s="213"/>
      <c r="H2" s="213"/>
    </row>
    <row r="3" spans="1:8" s="3" customFormat="1" ht="30.75" customHeight="1" thickBot="1" x14ac:dyDescent="0.3">
      <c r="A3" s="88" t="s">
        <v>1</v>
      </c>
      <c r="B3" s="6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7" t="s">
        <v>7</v>
      </c>
      <c r="H3" s="11" t="s">
        <v>8</v>
      </c>
    </row>
    <row r="4" spans="1:8" s="3" customFormat="1" hidden="1" x14ac:dyDescent="0.25">
      <c r="A4" s="89">
        <v>86</v>
      </c>
      <c r="B4" s="90" t="s">
        <v>9</v>
      </c>
      <c r="C4" s="90" t="s">
        <v>21</v>
      </c>
      <c r="D4" s="36" t="s">
        <v>11</v>
      </c>
      <c r="E4" s="36" t="s">
        <v>9</v>
      </c>
      <c r="F4" s="90"/>
      <c r="G4" s="90"/>
      <c r="H4" s="91"/>
    </row>
    <row r="5" spans="1:8" s="39" customFormat="1" hidden="1" x14ac:dyDescent="0.25">
      <c r="A5" s="35">
        <v>3</v>
      </c>
      <c r="B5" s="36" t="s">
        <v>12</v>
      </c>
      <c r="C5" s="37" t="s">
        <v>13</v>
      </c>
      <c r="D5" s="36">
        <v>2</v>
      </c>
      <c r="E5" s="36" t="s">
        <v>16</v>
      </c>
      <c r="F5" s="36">
        <v>147</v>
      </c>
      <c r="G5" s="95">
        <v>170</v>
      </c>
      <c r="H5" s="96">
        <f>(F5*8750*1.03*1.1/0.82)*1.1/0.86*1.053</f>
        <v>2393668.7519498025</v>
      </c>
    </row>
    <row r="6" spans="1:8" s="39" customFormat="1" ht="30" hidden="1" x14ac:dyDescent="0.25">
      <c r="A6" s="97">
        <v>8</v>
      </c>
      <c r="B6" s="98" t="s">
        <v>12</v>
      </c>
      <c r="C6" s="99" t="s">
        <v>25</v>
      </c>
      <c r="D6" s="98">
        <v>2</v>
      </c>
      <c r="E6" s="98" t="s">
        <v>14</v>
      </c>
      <c r="F6" s="98">
        <f>96+40</f>
        <v>136</v>
      </c>
      <c r="G6" s="100">
        <v>155</v>
      </c>
      <c r="H6" s="101"/>
    </row>
    <row r="7" spans="1:8" s="39" customFormat="1" ht="30" hidden="1" x14ac:dyDescent="0.25">
      <c r="A7" s="102">
        <v>9</v>
      </c>
      <c r="B7" s="103" t="s">
        <v>12</v>
      </c>
      <c r="C7" s="104" t="s">
        <v>26</v>
      </c>
      <c r="D7" s="103">
        <v>2</v>
      </c>
      <c r="E7" s="103" t="s">
        <v>14</v>
      </c>
      <c r="F7" s="103">
        <f>102+40</f>
        <v>142</v>
      </c>
      <c r="G7" s="105">
        <v>163</v>
      </c>
      <c r="H7" s="101"/>
    </row>
    <row r="8" spans="1:8" s="22" customFormat="1" hidden="1" x14ac:dyDescent="0.25">
      <c r="A8" s="29">
        <v>10</v>
      </c>
      <c r="B8" s="30" t="s">
        <v>12</v>
      </c>
      <c r="C8" s="31" t="s">
        <v>13</v>
      </c>
      <c r="D8" s="30">
        <v>3</v>
      </c>
      <c r="E8" s="30" t="s">
        <v>16</v>
      </c>
      <c r="F8" s="30">
        <v>147</v>
      </c>
      <c r="G8" s="106">
        <v>170</v>
      </c>
      <c r="H8" s="107">
        <f>(F8*8750*1.06*1.1/0.82)*1.1/0.86*1.053</f>
        <v>2463387.2592881462</v>
      </c>
    </row>
    <row r="9" spans="1:8" s="22" customFormat="1" hidden="1" x14ac:dyDescent="0.25">
      <c r="A9" s="92">
        <v>11</v>
      </c>
      <c r="B9" s="27" t="s">
        <v>12</v>
      </c>
      <c r="C9" s="28" t="s">
        <v>22</v>
      </c>
      <c r="D9" s="27">
        <v>3</v>
      </c>
      <c r="E9" s="27" t="s">
        <v>23</v>
      </c>
      <c r="F9" s="27"/>
      <c r="G9" s="93"/>
      <c r="H9" s="107">
        <f>F9*9000*1.1*1.1</f>
        <v>0</v>
      </c>
    </row>
    <row r="10" spans="1:8" s="22" customFormat="1" hidden="1" x14ac:dyDescent="0.25">
      <c r="A10" s="92">
        <v>12</v>
      </c>
      <c r="B10" s="27" t="s">
        <v>12</v>
      </c>
      <c r="C10" s="28" t="s">
        <v>18</v>
      </c>
      <c r="D10" s="27">
        <v>3</v>
      </c>
      <c r="E10" s="27" t="s">
        <v>16</v>
      </c>
      <c r="F10" s="27">
        <v>147</v>
      </c>
      <c r="G10" s="93">
        <v>170</v>
      </c>
      <c r="H10" s="107">
        <f>(F10*8750*1.07*1.1/0.82/0.95+57000)*1.1/0.86*1.055</f>
        <v>2699390.2284159781</v>
      </c>
    </row>
    <row r="11" spans="1:8" s="22" customFormat="1" hidden="1" x14ac:dyDescent="0.25">
      <c r="A11" s="92">
        <v>14</v>
      </c>
      <c r="B11" s="27" t="s">
        <v>12</v>
      </c>
      <c r="C11" s="28" t="s">
        <v>17</v>
      </c>
      <c r="D11" s="27">
        <v>3</v>
      </c>
      <c r="E11" s="27" t="s">
        <v>16</v>
      </c>
      <c r="F11" s="27">
        <v>147</v>
      </c>
      <c r="G11" s="93">
        <v>170</v>
      </c>
      <c r="H11" s="107">
        <f>(F11*8750*1.07*1.1/0.82/0.95+57000)*1.1/0.86*1.055</f>
        <v>2699390.2284159781</v>
      </c>
    </row>
    <row r="12" spans="1:8" s="22" customFormat="1" hidden="1" x14ac:dyDescent="0.25">
      <c r="A12" s="109">
        <v>15</v>
      </c>
      <c r="B12" s="110" t="s">
        <v>12</v>
      </c>
      <c r="C12" s="111" t="s">
        <v>21</v>
      </c>
      <c r="D12" s="110">
        <v>3</v>
      </c>
      <c r="E12" s="110" t="s">
        <v>14</v>
      </c>
      <c r="F12" s="110">
        <v>96</v>
      </c>
      <c r="G12" s="112">
        <v>111</v>
      </c>
      <c r="H12" s="113"/>
    </row>
    <row r="13" spans="1:8" s="22" customFormat="1" hidden="1" x14ac:dyDescent="0.25">
      <c r="A13" s="114">
        <v>16</v>
      </c>
      <c r="B13" s="115" t="s">
        <v>12</v>
      </c>
      <c r="C13" s="116" t="s">
        <v>15</v>
      </c>
      <c r="D13" s="115">
        <v>3</v>
      </c>
      <c r="E13" s="115" t="s">
        <v>14</v>
      </c>
      <c r="F13" s="115">
        <v>102</v>
      </c>
      <c r="G13" s="117">
        <v>116</v>
      </c>
      <c r="H13" s="113"/>
    </row>
    <row r="14" spans="1:8" s="39" customFormat="1" hidden="1" x14ac:dyDescent="0.25">
      <c r="A14" s="35">
        <v>17</v>
      </c>
      <c r="B14" s="36" t="s">
        <v>12</v>
      </c>
      <c r="C14" s="37" t="s">
        <v>13</v>
      </c>
      <c r="D14" s="36">
        <v>4</v>
      </c>
      <c r="E14" s="36" t="s">
        <v>16</v>
      </c>
      <c r="F14" s="36">
        <v>147</v>
      </c>
      <c r="G14" s="95">
        <v>170</v>
      </c>
      <c r="H14" s="96">
        <f>(F14*8750*1.09*1.1/0.82)*1.1/0.86*1.053</f>
        <v>2533105.7666264898</v>
      </c>
    </row>
    <row r="15" spans="1:8" s="39" customFormat="1" hidden="1" x14ac:dyDescent="0.25">
      <c r="A15" s="40">
        <v>19</v>
      </c>
      <c r="B15" s="41" t="s">
        <v>12</v>
      </c>
      <c r="C15" s="42" t="s">
        <v>18</v>
      </c>
      <c r="D15" s="41">
        <v>4</v>
      </c>
      <c r="E15" s="41" t="s">
        <v>16</v>
      </c>
      <c r="F15" s="41">
        <v>147</v>
      </c>
      <c r="G15" s="118">
        <v>170</v>
      </c>
      <c r="H15" s="96">
        <f>(F15*8750*1.1*1.1/0.82/0.95+53000)*1.1/0.86*1.055</f>
        <v>2767519.8446875853</v>
      </c>
    </row>
    <row r="16" spans="1:8" s="39" customFormat="1" hidden="1" x14ac:dyDescent="0.25">
      <c r="A16" s="40">
        <v>21</v>
      </c>
      <c r="B16" s="41" t="s">
        <v>12</v>
      </c>
      <c r="C16" s="42" t="s">
        <v>17</v>
      </c>
      <c r="D16" s="41">
        <v>4</v>
      </c>
      <c r="E16" s="41" t="s">
        <v>16</v>
      </c>
      <c r="F16" s="41">
        <v>147</v>
      </c>
      <c r="G16" s="118">
        <v>170</v>
      </c>
      <c r="H16" s="96">
        <f>(F16*8750*1.1*1.1/0.82/0.95+53000)*1.1/0.86*1.055</f>
        <v>2767519.8446875853</v>
      </c>
    </row>
    <row r="17" spans="1:8" s="39" customFormat="1" hidden="1" x14ac:dyDescent="0.25">
      <c r="A17" s="97">
        <v>22</v>
      </c>
      <c r="B17" s="98" t="s">
        <v>12</v>
      </c>
      <c r="C17" s="99" t="s">
        <v>21</v>
      </c>
      <c r="D17" s="98">
        <v>4</v>
      </c>
      <c r="E17" s="98" t="s">
        <v>14</v>
      </c>
      <c r="F17" s="98">
        <v>96</v>
      </c>
      <c r="G17" s="100">
        <v>111</v>
      </c>
      <c r="H17" s="101"/>
    </row>
    <row r="18" spans="1:8" s="39" customFormat="1" hidden="1" x14ac:dyDescent="0.25">
      <c r="A18" s="102">
        <v>23</v>
      </c>
      <c r="B18" s="103" t="s">
        <v>12</v>
      </c>
      <c r="C18" s="104" t="s">
        <v>15</v>
      </c>
      <c r="D18" s="103">
        <v>4</v>
      </c>
      <c r="E18" s="103" t="s">
        <v>14</v>
      </c>
      <c r="F18" s="103">
        <v>102</v>
      </c>
      <c r="G18" s="105">
        <v>116</v>
      </c>
      <c r="H18" s="101"/>
    </row>
    <row r="19" spans="1:8" s="22" customFormat="1" hidden="1" x14ac:dyDescent="0.25">
      <c r="A19" s="29">
        <v>24</v>
      </c>
      <c r="B19" s="30" t="s">
        <v>12</v>
      </c>
      <c r="C19" s="31" t="s">
        <v>13</v>
      </c>
      <c r="D19" s="30">
        <v>5</v>
      </c>
      <c r="E19" s="30" t="s">
        <v>16</v>
      </c>
      <c r="F19" s="30">
        <v>147</v>
      </c>
      <c r="G19" s="106">
        <v>170</v>
      </c>
      <c r="H19" s="107">
        <f>(F19*8750*1.12*1.1/0.82)*1.1/0.86*1.053</f>
        <v>2602824.2739648335</v>
      </c>
    </row>
    <row r="20" spans="1:8" s="22" customFormat="1" hidden="1" x14ac:dyDescent="0.25">
      <c r="A20" s="119">
        <v>25</v>
      </c>
      <c r="B20" s="120" t="s">
        <v>12</v>
      </c>
      <c r="C20" s="121" t="s">
        <v>22</v>
      </c>
      <c r="D20" s="120">
        <v>5</v>
      </c>
      <c r="E20" s="120" t="s">
        <v>23</v>
      </c>
      <c r="F20" s="120"/>
      <c r="G20" s="122"/>
      <c r="H20" s="123">
        <f>F20*9000*1.2</f>
        <v>0</v>
      </c>
    </row>
    <row r="21" spans="1:8" s="22" customFormat="1" hidden="1" x14ac:dyDescent="0.25">
      <c r="A21" s="92">
        <v>26</v>
      </c>
      <c r="B21" s="27" t="s">
        <v>12</v>
      </c>
      <c r="C21" s="28" t="s">
        <v>18</v>
      </c>
      <c r="D21" s="27">
        <v>5</v>
      </c>
      <c r="E21" s="27" t="s">
        <v>16</v>
      </c>
      <c r="F21" s="27">
        <v>147</v>
      </c>
      <c r="G21" s="93">
        <v>170</v>
      </c>
      <c r="H21" s="107">
        <f>(F21*8750*1.13*1.1/0.82/0.95+48000)*1.1/0.86*1.055</f>
        <v>2834300.042354539</v>
      </c>
    </row>
    <row r="22" spans="1:8" s="22" customFormat="1" hidden="1" x14ac:dyDescent="0.25">
      <c r="A22" s="92">
        <v>27</v>
      </c>
      <c r="B22" s="27" t="s">
        <v>12</v>
      </c>
      <c r="C22" s="28" t="s">
        <v>17</v>
      </c>
      <c r="D22" s="27">
        <v>5</v>
      </c>
      <c r="E22" s="27" t="s">
        <v>24</v>
      </c>
      <c r="F22" s="27">
        <v>165</v>
      </c>
      <c r="G22" s="93">
        <v>190</v>
      </c>
      <c r="H22" s="107"/>
    </row>
    <row r="23" spans="1:8" s="22" customFormat="1" hidden="1" x14ac:dyDescent="0.25">
      <c r="A23" s="92">
        <v>28</v>
      </c>
      <c r="B23" s="27" t="s">
        <v>12</v>
      </c>
      <c r="C23" s="28" t="s">
        <v>17</v>
      </c>
      <c r="D23" s="27">
        <v>5</v>
      </c>
      <c r="E23" s="27" t="s">
        <v>16</v>
      </c>
      <c r="F23" s="27">
        <v>147</v>
      </c>
      <c r="G23" s="93">
        <v>170</v>
      </c>
      <c r="H23" s="107">
        <f>(F23*8750*1.13*1.1/0.82/0.95+48000)*1.1/0.86*1.055</f>
        <v>2834300.042354539</v>
      </c>
    </row>
    <row r="24" spans="1:8" s="22" customFormat="1" hidden="1" x14ac:dyDescent="0.25">
      <c r="A24" s="109">
        <v>29</v>
      </c>
      <c r="B24" s="110" t="s">
        <v>12</v>
      </c>
      <c r="C24" s="111" t="s">
        <v>21</v>
      </c>
      <c r="D24" s="110">
        <v>5</v>
      </c>
      <c r="E24" s="110" t="s">
        <v>14</v>
      </c>
      <c r="F24" s="110">
        <v>96</v>
      </c>
      <c r="G24" s="112">
        <v>111</v>
      </c>
      <c r="H24" s="113"/>
    </row>
    <row r="25" spans="1:8" s="22" customFormat="1" hidden="1" x14ac:dyDescent="0.25">
      <c r="A25" s="124">
        <v>30</v>
      </c>
      <c r="B25" s="125" t="s">
        <v>12</v>
      </c>
      <c r="C25" s="126" t="s">
        <v>15</v>
      </c>
      <c r="D25" s="125">
        <v>5</v>
      </c>
      <c r="E25" s="125" t="s">
        <v>14</v>
      </c>
      <c r="F25" s="125">
        <v>102</v>
      </c>
      <c r="G25" s="127">
        <v>116</v>
      </c>
      <c r="H25" s="113"/>
    </row>
    <row r="26" spans="1:8" s="39" customFormat="1" hidden="1" x14ac:dyDescent="0.25">
      <c r="A26" s="35">
        <v>31</v>
      </c>
      <c r="B26" s="36" t="s">
        <v>12</v>
      </c>
      <c r="C26" s="37" t="s">
        <v>13</v>
      </c>
      <c r="D26" s="36">
        <v>6</v>
      </c>
      <c r="E26" s="36" t="s">
        <v>16</v>
      </c>
      <c r="F26" s="36">
        <v>147</v>
      </c>
      <c r="G26" s="95">
        <v>170</v>
      </c>
      <c r="H26" s="96">
        <f>(F26*8750*1.15*1.1/0.82)*1.1/0.86*1.053</f>
        <v>2672542.7813031771</v>
      </c>
    </row>
    <row r="27" spans="1:8" s="39" customFormat="1" hidden="1" x14ac:dyDescent="0.25">
      <c r="A27" s="40">
        <v>33</v>
      </c>
      <c r="B27" s="41" t="s">
        <v>12</v>
      </c>
      <c r="C27" s="42" t="s">
        <v>18</v>
      </c>
      <c r="D27" s="41">
        <v>6</v>
      </c>
      <c r="E27" s="41" t="s">
        <v>16</v>
      </c>
      <c r="F27" s="41">
        <v>147</v>
      </c>
      <c r="G27" s="118">
        <v>170</v>
      </c>
      <c r="H27" s="96">
        <f>(F27*8750*1.16*1.1/0.82/0.95+44000)*1.1/0.86*1.065</f>
        <v>2929940.8402244984</v>
      </c>
    </row>
    <row r="28" spans="1:8" s="39" customFormat="1" hidden="1" x14ac:dyDescent="0.25">
      <c r="A28" s="40">
        <v>34</v>
      </c>
      <c r="B28" s="41" t="s">
        <v>12</v>
      </c>
      <c r="C28" s="42" t="s">
        <v>17</v>
      </c>
      <c r="D28" s="41">
        <v>6</v>
      </c>
      <c r="E28" s="41" t="s">
        <v>24</v>
      </c>
      <c r="F28" s="41">
        <v>165</v>
      </c>
      <c r="G28" s="118">
        <v>190</v>
      </c>
      <c r="H28" s="96"/>
    </row>
    <row r="29" spans="1:8" s="39" customFormat="1" hidden="1" x14ac:dyDescent="0.25">
      <c r="A29" s="40">
        <v>35</v>
      </c>
      <c r="B29" s="41" t="s">
        <v>12</v>
      </c>
      <c r="C29" s="42" t="s">
        <v>17</v>
      </c>
      <c r="D29" s="41">
        <v>6</v>
      </c>
      <c r="E29" s="41" t="s">
        <v>16</v>
      </c>
      <c r="F29" s="41">
        <v>147</v>
      </c>
      <c r="G29" s="118">
        <v>170</v>
      </c>
      <c r="H29" s="96">
        <f>(F29*8750*1.16*1.1/0.82/0.95+44000)*1.1/0.86*1.065</f>
        <v>2929940.8402244984</v>
      </c>
    </row>
    <row r="30" spans="1:8" s="39" customFormat="1" hidden="1" x14ac:dyDescent="0.25">
      <c r="A30" s="97">
        <v>36</v>
      </c>
      <c r="B30" s="98" t="s">
        <v>12</v>
      </c>
      <c r="C30" s="99" t="s">
        <v>21</v>
      </c>
      <c r="D30" s="98">
        <v>6</v>
      </c>
      <c r="E30" s="98" t="s">
        <v>14</v>
      </c>
      <c r="F30" s="98">
        <v>96</v>
      </c>
      <c r="G30" s="100">
        <v>111</v>
      </c>
      <c r="H30" s="101"/>
    </row>
    <row r="31" spans="1:8" s="39" customFormat="1" hidden="1" x14ac:dyDescent="0.25">
      <c r="A31" s="102">
        <v>37</v>
      </c>
      <c r="B31" s="103" t="s">
        <v>12</v>
      </c>
      <c r="C31" s="104" t="s">
        <v>15</v>
      </c>
      <c r="D31" s="103">
        <v>6</v>
      </c>
      <c r="E31" s="103" t="s">
        <v>14</v>
      </c>
      <c r="F31" s="103">
        <v>102</v>
      </c>
      <c r="G31" s="105">
        <v>116</v>
      </c>
      <c r="H31" s="101"/>
    </row>
    <row r="32" spans="1:8" s="22" customFormat="1" hidden="1" x14ac:dyDescent="0.25">
      <c r="A32" s="29">
        <v>38</v>
      </c>
      <c r="B32" s="30" t="s">
        <v>12</v>
      </c>
      <c r="C32" s="31" t="s">
        <v>13</v>
      </c>
      <c r="D32" s="30">
        <v>7</v>
      </c>
      <c r="E32" s="30" t="s">
        <v>16</v>
      </c>
      <c r="F32" s="30">
        <v>147</v>
      </c>
      <c r="G32" s="106">
        <v>170</v>
      </c>
      <c r="H32" s="107">
        <f>(F32*8750*1.18*1.1/0.82)*1.1/0.86*1.053</f>
        <v>2742261.2886415208</v>
      </c>
    </row>
    <row r="33" spans="1:8" s="22" customFormat="1" hidden="1" x14ac:dyDescent="0.25">
      <c r="A33" s="92">
        <v>40</v>
      </c>
      <c r="B33" s="27" t="s">
        <v>12</v>
      </c>
      <c r="C33" s="28" t="s">
        <v>18</v>
      </c>
      <c r="D33" s="27">
        <v>7</v>
      </c>
      <c r="E33" s="27" t="s">
        <v>16</v>
      </c>
      <c r="F33" s="27">
        <v>147</v>
      </c>
      <c r="G33" s="93">
        <v>170</v>
      </c>
      <c r="H33" s="107">
        <f>(F33*8750*1.19*1.1/0.82/0.95+90000)*1.1/0.86*1.065</f>
        <v>3066826.6999656698</v>
      </c>
    </row>
    <row r="34" spans="1:8" s="22" customFormat="1" hidden="1" x14ac:dyDescent="0.25">
      <c r="A34" s="92">
        <v>41</v>
      </c>
      <c r="B34" s="27" t="s">
        <v>12</v>
      </c>
      <c r="C34" s="28" t="s">
        <v>17</v>
      </c>
      <c r="D34" s="27">
        <v>7</v>
      </c>
      <c r="E34" s="27" t="s">
        <v>24</v>
      </c>
      <c r="F34" s="27">
        <v>165</v>
      </c>
      <c r="G34" s="93">
        <v>190</v>
      </c>
      <c r="H34" s="107"/>
    </row>
    <row r="35" spans="1:8" s="22" customFormat="1" hidden="1" x14ac:dyDescent="0.25">
      <c r="A35" s="92">
        <v>42</v>
      </c>
      <c r="B35" s="27" t="s">
        <v>12</v>
      </c>
      <c r="C35" s="28" t="s">
        <v>17</v>
      </c>
      <c r="D35" s="27">
        <v>7</v>
      </c>
      <c r="E35" s="27" t="s">
        <v>16</v>
      </c>
      <c r="F35" s="27">
        <v>147</v>
      </c>
      <c r="G35" s="93">
        <v>170</v>
      </c>
      <c r="H35" s="107">
        <f>(F35*8750*1.19*1.1/0.82/0.95+90000)*1.1/0.86*1.065</f>
        <v>3066826.6999656698</v>
      </c>
    </row>
    <row r="36" spans="1:8" s="22" customFormat="1" hidden="1" x14ac:dyDescent="0.25">
      <c r="A36" s="109">
        <v>43</v>
      </c>
      <c r="B36" s="110" t="s">
        <v>12</v>
      </c>
      <c r="C36" s="111" t="s">
        <v>21</v>
      </c>
      <c r="D36" s="110">
        <v>7</v>
      </c>
      <c r="E36" s="110" t="s">
        <v>14</v>
      </c>
      <c r="F36" s="110">
        <v>96</v>
      </c>
      <c r="G36" s="112">
        <v>111</v>
      </c>
      <c r="H36" s="113"/>
    </row>
    <row r="37" spans="1:8" s="22" customFormat="1" hidden="1" x14ac:dyDescent="0.25">
      <c r="A37" s="114">
        <v>44</v>
      </c>
      <c r="B37" s="115" t="s">
        <v>12</v>
      </c>
      <c r="C37" s="116" t="s">
        <v>15</v>
      </c>
      <c r="D37" s="115">
        <v>7</v>
      </c>
      <c r="E37" s="115" t="s">
        <v>14</v>
      </c>
      <c r="F37" s="115">
        <v>102</v>
      </c>
      <c r="G37" s="117">
        <v>116</v>
      </c>
      <c r="H37" s="113"/>
    </row>
    <row r="38" spans="1:8" s="39" customFormat="1" x14ac:dyDescent="0.25">
      <c r="A38" s="181">
        <v>45</v>
      </c>
      <c r="B38" s="182" t="s">
        <v>12</v>
      </c>
      <c r="C38" s="183" t="s">
        <v>13</v>
      </c>
      <c r="D38" s="182">
        <v>9</v>
      </c>
      <c r="E38" s="182" t="s">
        <v>16</v>
      </c>
      <c r="F38" s="182">
        <v>147</v>
      </c>
      <c r="G38" s="184">
        <v>170</v>
      </c>
      <c r="H38" s="185" t="s">
        <v>41</v>
      </c>
    </row>
    <row r="39" spans="1:8" s="39" customFormat="1" hidden="1" x14ac:dyDescent="0.25">
      <c r="A39" s="40">
        <v>47</v>
      </c>
      <c r="B39" s="41" t="s">
        <v>12</v>
      </c>
      <c r="C39" s="42" t="s">
        <v>18</v>
      </c>
      <c r="D39" s="41">
        <v>8</v>
      </c>
      <c r="E39" s="41" t="s">
        <v>16</v>
      </c>
      <c r="F39" s="41">
        <v>147</v>
      </c>
      <c r="G39" s="118">
        <v>170</v>
      </c>
      <c r="H39" s="96"/>
    </row>
    <row r="40" spans="1:8" s="39" customFormat="1" hidden="1" x14ac:dyDescent="0.25">
      <c r="A40" s="40">
        <v>48</v>
      </c>
      <c r="B40" s="41" t="s">
        <v>12</v>
      </c>
      <c r="C40" s="42" t="s">
        <v>17</v>
      </c>
      <c r="D40" s="41">
        <v>8</v>
      </c>
      <c r="E40" s="41" t="s">
        <v>24</v>
      </c>
      <c r="F40" s="41">
        <v>165</v>
      </c>
      <c r="G40" s="118">
        <v>190</v>
      </c>
      <c r="H40" s="96"/>
    </row>
    <row r="41" spans="1:8" s="39" customFormat="1" hidden="1" x14ac:dyDescent="0.25">
      <c r="A41" s="40">
        <v>49</v>
      </c>
      <c r="B41" s="41" t="s">
        <v>12</v>
      </c>
      <c r="C41" s="42" t="s">
        <v>17</v>
      </c>
      <c r="D41" s="41">
        <v>8</v>
      </c>
      <c r="E41" s="41" t="s">
        <v>16</v>
      </c>
      <c r="F41" s="41">
        <v>147</v>
      </c>
      <c r="G41" s="118">
        <v>170</v>
      </c>
      <c r="H41" s="96"/>
    </row>
    <row r="42" spans="1:8" s="39" customFormat="1" hidden="1" x14ac:dyDescent="0.25">
      <c r="A42" s="97">
        <v>50</v>
      </c>
      <c r="B42" s="98" t="s">
        <v>12</v>
      </c>
      <c r="C42" s="99" t="s">
        <v>21</v>
      </c>
      <c r="D42" s="98">
        <v>8</v>
      </c>
      <c r="E42" s="98" t="s">
        <v>14</v>
      </c>
      <c r="F42" s="98">
        <v>96</v>
      </c>
      <c r="G42" s="100">
        <v>111</v>
      </c>
      <c r="H42" s="101"/>
    </row>
    <row r="43" spans="1:8" s="39" customFormat="1" hidden="1" x14ac:dyDescent="0.25">
      <c r="A43" s="102">
        <v>51</v>
      </c>
      <c r="B43" s="103" t="s">
        <v>12</v>
      </c>
      <c r="C43" s="104" t="s">
        <v>15</v>
      </c>
      <c r="D43" s="103">
        <v>8</v>
      </c>
      <c r="E43" s="103" t="s">
        <v>14</v>
      </c>
      <c r="F43" s="103">
        <v>102</v>
      </c>
      <c r="G43" s="105">
        <v>116</v>
      </c>
      <c r="H43" s="101"/>
    </row>
    <row r="44" spans="1:8" s="22" customFormat="1" hidden="1" x14ac:dyDescent="0.25">
      <c r="A44" s="92">
        <v>54</v>
      </c>
      <c r="B44" s="27" t="s">
        <v>12</v>
      </c>
      <c r="C44" s="28" t="s">
        <v>18</v>
      </c>
      <c r="D44" s="27">
        <v>9</v>
      </c>
      <c r="E44" s="27" t="s">
        <v>16</v>
      </c>
      <c r="F44" s="27">
        <v>147</v>
      </c>
      <c r="G44" s="93">
        <v>170</v>
      </c>
      <c r="H44" s="107"/>
    </row>
    <row r="45" spans="1:8" s="22" customFormat="1" hidden="1" x14ac:dyDescent="0.25">
      <c r="A45" s="109">
        <v>57</v>
      </c>
      <c r="B45" s="110" t="s">
        <v>12</v>
      </c>
      <c r="C45" s="111" t="s">
        <v>21</v>
      </c>
      <c r="D45" s="110">
        <v>9</v>
      </c>
      <c r="E45" s="110" t="s">
        <v>14</v>
      </c>
      <c r="F45" s="110">
        <v>96</v>
      </c>
      <c r="G45" s="112">
        <v>111</v>
      </c>
      <c r="H45" s="113"/>
    </row>
    <row r="46" spans="1:8" s="22" customFormat="1" hidden="1" x14ac:dyDescent="0.25">
      <c r="A46" s="114">
        <v>58</v>
      </c>
      <c r="B46" s="115" t="s">
        <v>12</v>
      </c>
      <c r="C46" s="116" t="s">
        <v>15</v>
      </c>
      <c r="D46" s="115">
        <v>9</v>
      </c>
      <c r="E46" s="115" t="s">
        <v>14</v>
      </c>
      <c r="F46" s="115">
        <v>102</v>
      </c>
      <c r="G46" s="117">
        <v>116</v>
      </c>
      <c r="H46" s="113"/>
    </row>
    <row r="47" spans="1:8" s="39" customFormat="1" x14ac:dyDescent="0.25">
      <c r="A47" s="181">
        <v>59</v>
      </c>
      <c r="B47" s="182" t="s">
        <v>12</v>
      </c>
      <c r="C47" s="183" t="s">
        <v>13</v>
      </c>
      <c r="D47" s="182">
        <v>10</v>
      </c>
      <c r="E47" s="182" t="s">
        <v>16</v>
      </c>
      <c r="F47" s="182">
        <v>147</v>
      </c>
      <c r="G47" s="184">
        <v>170</v>
      </c>
      <c r="H47" s="185" t="s">
        <v>41</v>
      </c>
    </row>
    <row r="48" spans="1:8" s="39" customFormat="1" hidden="1" x14ac:dyDescent="0.25">
      <c r="A48" s="40">
        <v>60</v>
      </c>
      <c r="B48" s="41" t="s">
        <v>12</v>
      </c>
      <c r="C48" s="42" t="s">
        <v>22</v>
      </c>
      <c r="D48" s="41">
        <v>10</v>
      </c>
      <c r="E48" s="41" t="s">
        <v>23</v>
      </c>
      <c r="F48" s="27"/>
      <c r="G48" s="93"/>
      <c r="H48" s="107">
        <f>F48*9000*1.45</f>
        <v>0</v>
      </c>
    </row>
    <row r="49" spans="1:8" s="39" customFormat="1" hidden="1" x14ac:dyDescent="0.25">
      <c r="A49" s="62">
        <v>61</v>
      </c>
      <c r="B49" s="63" t="s">
        <v>12</v>
      </c>
      <c r="C49" s="64" t="s">
        <v>18</v>
      </c>
      <c r="D49" s="63">
        <v>10</v>
      </c>
      <c r="E49" s="63" t="s">
        <v>16</v>
      </c>
      <c r="F49" s="63">
        <v>147</v>
      </c>
      <c r="G49" s="128">
        <v>170</v>
      </c>
      <c r="H49" s="129">
        <f>(F49*8750*1.28*1.1/0.82/0.95+226000)*1.1/0.86*1.065</f>
        <v>3474759.86058453</v>
      </c>
    </row>
    <row r="50" spans="1:8" s="39" customFormat="1" hidden="1" x14ac:dyDescent="0.25">
      <c r="A50" s="62">
        <v>62</v>
      </c>
      <c r="B50" s="63" t="s">
        <v>12</v>
      </c>
      <c r="C50" s="64" t="s">
        <v>17</v>
      </c>
      <c r="D50" s="63">
        <v>10</v>
      </c>
      <c r="E50" s="63" t="s">
        <v>24</v>
      </c>
      <c r="F50" s="63">
        <v>165</v>
      </c>
      <c r="G50" s="128">
        <v>190</v>
      </c>
      <c r="H50" s="129"/>
    </row>
    <row r="51" spans="1:8" s="39" customFormat="1" hidden="1" x14ac:dyDescent="0.25">
      <c r="A51" s="97">
        <v>64</v>
      </c>
      <c r="B51" s="98" t="s">
        <v>12</v>
      </c>
      <c r="C51" s="99" t="s">
        <v>21</v>
      </c>
      <c r="D51" s="98">
        <v>10</v>
      </c>
      <c r="E51" s="98" t="s">
        <v>14</v>
      </c>
      <c r="F51" s="98">
        <v>96</v>
      </c>
      <c r="G51" s="100">
        <v>111</v>
      </c>
      <c r="H51" s="101"/>
    </row>
    <row r="52" spans="1:8" s="39" customFormat="1" hidden="1" x14ac:dyDescent="0.25">
      <c r="A52" s="102">
        <v>65</v>
      </c>
      <c r="B52" s="103" t="s">
        <v>12</v>
      </c>
      <c r="C52" s="104" t="s">
        <v>15</v>
      </c>
      <c r="D52" s="103">
        <v>10</v>
      </c>
      <c r="E52" s="103" t="s">
        <v>14</v>
      </c>
      <c r="F52" s="103">
        <v>102</v>
      </c>
      <c r="G52" s="105">
        <v>116</v>
      </c>
      <c r="H52" s="101"/>
    </row>
    <row r="53" spans="1:8" s="22" customFormat="1" x14ac:dyDescent="0.25">
      <c r="A53" s="186">
        <v>66</v>
      </c>
      <c r="B53" s="187" t="s">
        <v>12</v>
      </c>
      <c r="C53" s="188" t="s">
        <v>13</v>
      </c>
      <c r="D53" s="187">
        <v>12</v>
      </c>
      <c r="E53" s="187" t="s">
        <v>16</v>
      </c>
      <c r="F53" s="187">
        <v>147</v>
      </c>
      <c r="G53" s="189">
        <v>145</v>
      </c>
      <c r="H53" s="94">
        <f>(F53*8750*1.31*1.1/0.82/0.95+271000)*1.1/0.86*1.065*2.82*1.38</f>
        <v>14049779.311498571</v>
      </c>
    </row>
    <row r="54" spans="1:8" s="22" customFormat="1" x14ac:dyDescent="0.25">
      <c r="A54" s="23">
        <v>68</v>
      </c>
      <c r="B54" s="25" t="s">
        <v>12</v>
      </c>
      <c r="C54" s="24" t="s">
        <v>40</v>
      </c>
      <c r="D54" s="25">
        <v>11</v>
      </c>
      <c r="E54" s="25" t="s">
        <v>16</v>
      </c>
      <c r="F54" s="25">
        <v>147</v>
      </c>
      <c r="G54" s="108">
        <v>170</v>
      </c>
      <c r="H54" s="94">
        <f>(F54*8750*1.31*1.1/0.82/0.95+271000)*1.1/0.86*1.065*2.82*1.75</f>
        <v>17816749.126900364</v>
      </c>
    </row>
    <row r="55" spans="1:8" s="22" customFormat="1" hidden="1" x14ac:dyDescent="0.25">
      <c r="A55" s="92">
        <v>69</v>
      </c>
      <c r="B55" s="27" t="s">
        <v>12</v>
      </c>
      <c r="C55" s="28" t="s">
        <v>17</v>
      </c>
      <c r="D55" s="27">
        <v>11</v>
      </c>
      <c r="E55" s="27" t="s">
        <v>16</v>
      </c>
      <c r="F55" s="27">
        <v>147</v>
      </c>
      <c r="G55" s="93">
        <v>170</v>
      </c>
      <c r="H55" s="107">
        <f>(F55*8750*1.31*1.1/0.82/0.95+271000)*1.1/0.86*1.065</f>
        <v>3610283.5110233766</v>
      </c>
    </row>
    <row r="56" spans="1:8" s="22" customFormat="1" hidden="1" x14ac:dyDescent="0.25">
      <c r="A56" s="109">
        <v>70</v>
      </c>
      <c r="B56" s="110" t="s">
        <v>12</v>
      </c>
      <c r="C56" s="111" t="s">
        <v>21</v>
      </c>
      <c r="D56" s="110">
        <v>11</v>
      </c>
      <c r="E56" s="110" t="s">
        <v>14</v>
      </c>
      <c r="F56" s="110">
        <v>96</v>
      </c>
      <c r="G56" s="112">
        <v>111</v>
      </c>
      <c r="H56" s="113"/>
    </row>
    <row r="57" spans="1:8" s="22" customFormat="1" hidden="1" x14ac:dyDescent="0.25">
      <c r="A57" s="114">
        <v>71</v>
      </c>
      <c r="B57" s="115" t="s">
        <v>12</v>
      </c>
      <c r="C57" s="116" t="s">
        <v>15</v>
      </c>
      <c r="D57" s="115">
        <v>11</v>
      </c>
      <c r="E57" s="115" t="s">
        <v>14</v>
      </c>
      <c r="F57" s="115">
        <v>102</v>
      </c>
      <c r="G57" s="117">
        <v>116</v>
      </c>
      <c r="H57" s="113"/>
    </row>
    <row r="58" spans="1:8" s="39" customFormat="1" x14ac:dyDescent="0.25">
      <c r="A58" s="181"/>
      <c r="B58" s="182"/>
      <c r="C58" s="183"/>
      <c r="D58" s="182"/>
      <c r="E58" s="182"/>
      <c r="F58" s="182"/>
      <c r="G58" s="184"/>
      <c r="H58" s="185"/>
    </row>
    <row r="59" spans="1:8" s="39" customFormat="1" hidden="1" x14ac:dyDescent="0.25">
      <c r="A59" s="40">
        <v>75</v>
      </c>
      <c r="B59" s="41" t="s">
        <v>12</v>
      </c>
      <c r="C59" s="42" t="s">
        <v>17</v>
      </c>
      <c r="D59" s="41">
        <v>12</v>
      </c>
      <c r="E59" s="41" t="s">
        <v>16</v>
      </c>
      <c r="F59" s="41">
        <v>147</v>
      </c>
      <c r="G59" s="118">
        <v>170</v>
      </c>
      <c r="H59" s="96">
        <f>(F59*8750*1.34*1.1/0.82/0.95+317000)*1.1/0.86*1.06</f>
        <v>3729577.0263008634</v>
      </c>
    </row>
    <row r="60" spans="1:8" s="39" customFormat="1" hidden="1" x14ac:dyDescent="0.25">
      <c r="A60" s="97">
        <v>76</v>
      </c>
      <c r="B60" s="98" t="s">
        <v>12</v>
      </c>
      <c r="C60" s="99" t="s">
        <v>21</v>
      </c>
      <c r="D60" s="98">
        <v>12</v>
      </c>
      <c r="E60" s="98" t="s">
        <v>14</v>
      </c>
      <c r="F60" s="98">
        <v>96</v>
      </c>
      <c r="G60" s="100">
        <v>111</v>
      </c>
      <c r="H60" s="101"/>
    </row>
    <row r="61" spans="1:8" s="39" customFormat="1" hidden="1" x14ac:dyDescent="0.25">
      <c r="A61" s="102">
        <v>77</v>
      </c>
      <c r="B61" s="103" t="s">
        <v>12</v>
      </c>
      <c r="C61" s="104" t="s">
        <v>15</v>
      </c>
      <c r="D61" s="103">
        <v>12</v>
      </c>
      <c r="E61" s="103" t="s">
        <v>14</v>
      </c>
      <c r="F61" s="103">
        <v>102</v>
      </c>
      <c r="G61" s="105">
        <v>116</v>
      </c>
      <c r="H61" s="130"/>
    </row>
    <row r="62" spans="1:8" s="22" customFormat="1" x14ac:dyDescent="0.25">
      <c r="C62" s="131"/>
      <c r="G62" s="87"/>
      <c r="H62" s="87"/>
    </row>
    <row r="63" spans="1:8" x14ac:dyDescent="0.25">
      <c r="C63" s="195" t="s">
        <v>32</v>
      </c>
      <c r="D63" s="196" t="s">
        <v>37</v>
      </c>
    </row>
    <row r="64" spans="1:8" x14ac:dyDescent="0.25">
      <c r="C64" s="195" t="s">
        <v>33</v>
      </c>
      <c r="D64" s="196" t="s">
        <v>38</v>
      </c>
    </row>
    <row r="65" spans="3:5" ht="15.75" x14ac:dyDescent="0.25">
      <c r="C65" s="191" t="s">
        <v>36</v>
      </c>
      <c r="D65" s="207">
        <v>4973000</v>
      </c>
    </row>
    <row r="66" spans="3:5" ht="15.75" x14ac:dyDescent="0.25">
      <c r="C66" s="191" t="s">
        <v>34</v>
      </c>
      <c r="D66" s="192" t="s">
        <v>42</v>
      </c>
    </row>
    <row r="67" spans="3:5" ht="15.75" x14ac:dyDescent="0.25">
      <c r="C67" s="191" t="s">
        <v>35</v>
      </c>
      <c r="D67" s="192" t="s">
        <v>48</v>
      </c>
    </row>
    <row r="68" spans="3:5" ht="15.75" x14ac:dyDescent="0.25">
      <c r="C68" s="197" t="s">
        <v>46</v>
      </c>
      <c r="D68" s="199" t="s">
        <v>45</v>
      </c>
      <c r="E68" s="4"/>
    </row>
    <row r="69" spans="3:5" x14ac:dyDescent="0.25">
      <c r="C69" s="193"/>
      <c r="D69" s="194"/>
      <c r="E69" s="4"/>
    </row>
    <row r="70" spans="3:5" x14ac:dyDescent="0.25">
      <c r="C70" s="193"/>
      <c r="D70" s="194"/>
      <c r="E70" s="4"/>
    </row>
    <row r="71" spans="3:5" x14ac:dyDescent="0.25">
      <c r="C71" s="193"/>
      <c r="D71" s="194"/>
      <c r="E71" s="4"/>
    </row>
  </sheetData>
  <autoFilter ref="A3:H61" xr:uid="{00000000-0009-0000-0000-000002000000}"/>
  <mergeCells count="1">
    <mergeCell ref="A2:H2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59"/>
  <sheetViews>
    <sheetView zoomScale="115" zoomScaleNormal="115" workbookViewId="0">
      <pane ySplit="3" topLeftCell="A46" activePane="bottomLeft" state="frozen"/>
      <selection pane="bottomLeft" activeCell="D52" sqref="D52"/>
    </sheetView>
  </sheetViews>
  <sheetFormatPr defaultColWidth="9.140625" defaultRowHeight="15" x14ac:dyDescent="0.25"/>
  <cols>
    <col min="1" max="1" width="16.140625" style="81" customWidth="1"/>
    <col min="2" max="2" width="12.5703125" style="81" customWidth="1"/>
    <col min="3" max="3" width="33.7109375" style="132" customWidth="1"/>
    <col min="4" max="4" width="27.42578125" style="132" customWidth="1"/>
    <col min="5" max="5" width="13.42578125" style="81" customWidth="1"/>
    <col min="6" max="6" width="9" style="81" customWidth="1"/>
    <col min="7" max="7" width="15.140625" style="81" customWidth="1"/>
    <col min="8" max="8" width="17" style="81" customWidth="1"/>
    <col min="9" max="9" width="10.5703125" style="81" customWidth="1"/>
    <col min="10" max="1024" width="9.140625" style="81"/>
  </cols>
  <sheetData>
    <row r="1" spans="1:13" ht="15.75" thickBot="1" x14ac:dyDescent="0.3"/>
    <row r="2" spans="1:13" ht="30" customHeight="1" thickBot="1" x14ac:dyDescent="0.3">
      <c r="A2" s="214" t="s">
        <v>27</v>
      </c>
      <c r="B2" s="214"/>
      <c r="C2" s="214"/>
      <c r="D2" s="214"/>
      <c r="E2" s="214"/>
      <c r="F2" s="214"/>
      <c r="G2" s="214"/>
      <c r="H2" s="214"/>
    </row>
    <row r="3" spans="1:13" ht="30.75" thickBot="1" x14ac:dyDescent="0.3">
      <c r="A3" s="5" t="s">
        <v>1</v>
      </c>
      <c r="B3" s="133" t="s">
        <v>2</v>
      </c>
      <c r="C3" s="133" t="s">
        <v>3</v>
      </c>
      <c r="D3" s="133" t="s">
        <v>4</v>
      </c>
      <c r="E3" s="134" t="s">
        <v>5</v>
      </c>
      <c r="F3" s="135" t="s">
        <v>6</v>
      </c>
      <c r="G3" s="136" t="s">
        <v>7</v>
      </c>
      <c r="H3" s="137" t="s">
        <v>28</v>
      </c>
      <c r="J3" s="138"/>
      <c r="K3" s="138"/>
      <c r="L3" s="138"/>
      <c r="M3" s="138"/>
    </row>
    <row r="4" spans="1:13" s="143" customFormat="1" ht="15" hidden="1" customHeight="1" thickBot="1" x14ac:dyDescent="0.3">
      <c r="A4" s="139">
        <v>1</v>
      </c>
      <c r="B4" s="140" t="s">
        <v>12</v>
      </c>
      <c r="C4" s="141" t="s">
        <v>18</v>
      </c>
      <c r="D4" s="140">
        <v>1</v>
      </c>
      <c r="E4" s="140" t="s">
        <v>16</v>
      </c>
      <c r="F4" s="140">
        <v>109</v>
      </c>
      <c r="G4" s="140">
        <v>125</v>
      </c>
      <c r="H4" s="142">
        <f>(F4*10500*1.05/0.82/0.96+53000+25000)*1.1/0.86*1.05</f>
        <v>2154990.3440513336</v>
      </c>
    </row>
    <row r="5" spans="1:13" s="143" customFormat="1" ht="15" hidden="1" customHeight="1" x14ac:dyDescent="0.25">
      <c r="A5" s="144">
        <v>2</v>
      </c>
      <c r="B5" s="145" t="s">
        <v>12</v>
      </c>
      <c r="C5" s="146" t="s">
        <v>10</v>
      </c>
      <c r="D5" s="145">
        <v>1</v>
      </c>
      <c r="E5" s="145" t="s">
        <v>14</v>
      </c>
      <c r="F5" s="145">
        <v>87</v>
      </c>
      <c r="G5" s="145">
        <v>100</v>
      </c>
      <c r="H5" s="147">
        <f>(F5*11000*1.02/0.82/0.98+54000)*1.1/0.86</f>
        <v>1622767.0830101755</v>
      </c>
    </row>
    <row r="6" spans="1:13" s="143" customFormat="1" ht="15" hidden="1" customHeight="1" x14ac:dyDescent="0.25">
      <c r="A6" s="148">
        <v>3</v>
      </c>
      <c r="B6" s="149" t="s">
        <v>12</v>
      </c>
      <c r="C6" s="150" t="s">
        <v>10</v>
      </c>
      <c r="D6" s="149">
        <v>1</v>
      </c>
      <c r="E6" s="149" t="s">
        <v>14</v>
      </c>
      <c r="F6" s="149">
        <v>87</v>
      </c>
      <c r="G6" s="149">
        <v>100</v>
      </c>
      <c r="H6" s="142">
        <f>(F6*11000*1.02/0.82/0.98+54000)*1.1/0.86</f>
        <v>1622767.0830101755</v>
      </c>
    </row>
    <row r="7" spans="1:13" s="143" customFormat="1" ht="15" hidden="1" customHeight="1" x14ac:dyDescent="0.25">
      <c r="A7" s="148">
        <v>4</v>
      </c>
      <c r="B7" s="149" t="s">
        <v>12</v>
      </c>
      <c r="C7" s="150" t="s">
        <v>10</v>
      </c>
      <c r="D7" s="149">
        <v>1</v>
      </c>
      <c r="E7" s="149" t="s">
        <v>14</v>
      </c>
      <c r="F7" s="149">
        <v>87</v>
      </c>
      <c r="G7" s="149">
        <v>100</v>
      </c>
      <c r="H7" s="142">
        <f>(F7*11000*1.02/0.82/0.975+54000)*1.1/0.86</f>
        <v>1630734.7615515513</v>
      </c>
    </row>
    <row r="8" spans="1:13" s="159" customFormat="1" ht="15" hidden="1" customHeight="1" x14ac:dyDescent="0.25">
      <c r="A8" s="155">
        <v>15</v>
      </c>
      <c r="B8" s="156" t="s">
        <v>12</v>
      </c>
      <c r="C8" s="157" t="s">
        <v>10</v>
      </c>
      <c r="D8" s="156">
        <v>2</v>
      </c>
      <c r="E8" s="156" t="s">
        <v>14</v>
      </c>
      <c r="F8" s="156">
        <v>87</v>
      </c>
      <c r="G8" s="156">
        <v>100</v>
      </c>
      <c r="H8" s="164">
        <f t="shared" ref="H8:H9" si="0">(F8*11000*1.045/0.82/0.975+50000)*1.1/0.86</f>
        <v>1663894.58527859</v>
      </c>
    </row>
    <row r="9" spans="1:13" s="159" customFormat="1" ht="15" hidden="1" customHeight="1" x14ac:dyDescent="0.25">
      <c r="A9" s="155">
        <v>16</v>
      </c>
      <c r="B9" s="156" t="s">
        <v>12</v>
      </c>
      <c r="C9" s="157" t="s">
        <v>10</v>
      </c>
      <c r="D9" s="156">
        <v>2</v>
      </c>
      <c r="E9" s="156" t="s">
        <v>14</v>
      </c>
      <c r="F9" s="156">
        <v>87</v>
      </c>
      <c r="G9" s="156">
        <v>100</v>
      </c>
      <c r="H9" s="158">
        <f t="shared" si="0"/>
        <v>1663894.58527859</v>
      </c>
    </row>
    <row r="10" spans="1:13" s="159" customFormat="1" ht="15" hidden="1" customHeight="1" x14ac:dyDescent="0.25">
      <c r="A10" s="155">
        <v>17</v>
      </c>
      <c r="B10" s="156" t="s">
        <v>12</v>
      </c>
      <c r="C10" s="157" t="s">
        <v>17</v>
      </c>
      <c r="D10" s="156">
        <v>2</v>
      </c>
      <c r="E10" s="156" t="s">
        <v>16</v>
      </c>
      <c r="F10" s="156">
        <v>109</v>
      </c>
      <c r="G10" s="156">
        <v>125</v>
      </c>
      <c r="H10" s="158">
        <f>(F10*10500*1.085/0.82/0.97+53000+25000)*1.1/0.86*1.05</f>
        <v>2201490.5086514908</v>
      </c>
    </row>
    <row r="11" spans="1:13" s="143" customFormat="1" ht="15" hidden="1" customHeight="1" x14ac:dyDescent="0.25">
      <c r="A11" s="148">
        <v>18</v>
      </c>
      <c r="B11" s="149" t="s">
        <v>12</v>
      </c>
      <c r="C11" s="150" t="s">
        <v>18</v>
      </c>
      <c r="D11" s="149">
        <v>3</v>
      </c>
      <c r="E11" s="149" t="s">
        <v>16</v>
      </c>
      <c r="F11" s="149">
        <v>109</v>
      </c>
      <c r="G11" s="149">
        <v>125</v>
      </c>
      <c r="H11" s="142">
        <f>(F11*10500*1.12/0.82/0.97+38000+25000)*1.1/0.86*1.05</f>
        <v>2248981.7628690563</v>
      </c>
    </row>
    <row r="12" spans="1:13" s="143" customFormat="1" ht="15" hidden="1" customHeight="1" x14ac:dyDescent="0.25">
      <c r="A12" s="148">
        <v>20</v>
      </c>
      <c r="B12" s="149" t="s">
        <v>12</v>
      </c>
      <c r="C12" s="150" t="s">
        <v>10</v>
      </c>
      <c r="D12" s="149">
        <v>3</v>
      </c>
      <c r="E12" s="149" t="s">
        <v>14</v>
      </c>
      <c r="F12" s="149">
        <v>87</v>
      </c>
      <c r="G12" s="149">
        <v>100</v>
      </c>
      <c r="H12" s="154">
        <f t="shared" ref="H12:H13" si="1">(F12*11000*1.072/0.82/0.975+50000)*1.1/0.86*3</f>
        <v>5115698.3288974222</v>
      </c>
    </row>
    <row r="13" spans="1:13" s="143" customFormat="1" ht="15" hidden="1" customHeight="1" x14ac:dyDescent="0.25">
      <c r="A13" s="148">
        <v>21</v>
      </c>
      <c r="B13" s="149" t="s">
        <v>12</v>
      </c>
      <c r="C13" s="150" t="s">
        <v>10</v>
      </c>
      <c r="D13" s="149">
        <v>3</v>
      </c>
      <c r="E13" s="149" t="s">
        <v>14</v>
      </c>
      <c r="F13" s="149">
        <v>87</v>
      </c>
      <c r="G13" s="149">
        <v>100</v>
      </c>
      <c r="H13" s="154">
        <f t="shared" si="1"/>
        <v>5115698.3288974222</v>
      </c>
    </row>
    <row r="14" spans="1:13" s="143" customFormat="1" ht="15" customHeight="1" x14ac:dyDescent="0.25">
      <c r="A14" s="201">
        <v>23</v>
      </c>
      <c r="B14" s="202" t="s">
        <v>12</v>
      </c>
      <c r="C14" s="203" t="s">
        <v>10</v>
      </c>
      <c r="D14" s="202">
        <v>4</v>
      </c>
      <c r="E14" s="202" t="s">
        <v>14</v>
      </c>
      <c r="F14" s="202">
        <v>87</v>
      </c>
      <c r="G14" s="202">
        <v>100</v>
      </c>
      <c r="H14" s="185" t="s">
        <v>41</v>
      </c>
    </row>
    <row r="15" spans="1:13" s="143" customFormat="1" ht="15" hidden="1" customHeight="1" x14ac:dyDescent="0.25">
      <c r="A15" s="148">
        <v>25</v>
      </c>
      <c r="B15" s="149" t="s">
        <v>12</v>
      </c>
      <c r="C15" s="150" t="s">
        <v>10</v>
      </c>
      <c r="D15" s="149">
        <v>3</v>
      </c>
      <c r="E15" s="149" t="s">
        <v>14</v>
      </c>
      <c r="F15" s="149">
        <v>87</v>
      </c>
      <c r="G15" s="149">
        <v>100</v>
      </c>
      <c r="H15" s="142">
        <f>(F15*11000*1.072/0.82/0.975+50000)*1.1/0.86</f>
        <v>1705232.7762991409</v>
      </c>
      <c r="I15" s="32"/>
    </row>
    <row r="16" spans="1:13" s="143" customFormat="1" ht="15" hidden="1" customHeight="1" x14ac:dyDescent="0.25">
      <c r="A16" s="148">
        <v>26</v>
      </c>
      <c r="B16" s="149" t="s">
        <v>12</v>
      </c>
      <c r="C16" s="150" t="s">
        <v>17</v>
      </c>
      <c r="D16" s="149">
        <v>3</v>
      </c>
      <c r="E16" s="149" t="s">
        <v>16</v>
      </c>
      <c r="F16" s="149">
        <v>109</v>
      </c>
      <c r="G16" s="149">
        <v>125</v>
      </c>
      <c r="H16" s="142">
        <f>(F16*10500*1.12/0.82/0.97+38000+25000)*1.1/0.86*1.05</f>
        <v>2248981.7628690563</v>
      </c>
    </row>
    <row r="17" spans="1:9" s="159" customFormat="1" ht="15" hidden="1" customHeight="1" x14ac:dyDescent="0.25">
      <c r="A17" s="165">
        <v>27</v>
      </c>
      <c r="B17" s="166" t="s">
        <v>12</v>
      </c>
      <c r="C17" s="167" t="s">
        <v>18</v>
      </c>
      <c r="D17" s="166">
        <v>4</v>
      </c>
      <c r="E17" s="166" t="s">
        <v>16</v>
      </c>
      <c r="F17" s="166">
        <v>109</v>
      </c>
      <c r="G17" s="166">
        <v>125</v>
      </c>
      <c r="H17" s="168">
        <f>(F17*10500*1.155/0.82/0.97+23000+25000)*1.1/0.86*1.05</f>
        <v>2296473.0170866209</v>
      </c>
    </row>
    <row r="18" spans="1:9" s="159" customFormat="1" ht="15" hidden="1" customHeight="1" x14ac:dyDescent="0.25">
      <c r="A18" s="169">
        <v>44</v>
      </c>
      <c r="B18" s="170" t="s">
        <v>12</v>
      </c>
      <c r="C18" s="171" t="s">
        <v>18</v>
      </c>
      <c r="D18" s="170">
        <v>6</v>
      </c>
      <c r="E18" s="170" t="s">
        <v>16</v>
      </c>
      <c r="F18" s="170">
        <v>109</v>
      </c>
      <c r="G18" s="170">
        <v>125</v>
      </c>
      <c r="H18" s="172">
        <f>(F18*10500*1.225/0.82/0.97+37000+25000)*1.1/0.86*1.05</f>
        <v>2450548.5487775644</v>
      </c>
    </row>
    <row r="19" spans="1:9" s="159" customFormat="1" ht="15" hidden="1" customHeight="1" x14ac:dyDescent="0.25">
      <c r="A19" s="155">
        <v>50</v>
      </c>
      <c r="B19" s="156" t="s">
        <v>12</v>
      </c>
      <c r="C19" s="157" t="s">
        <v>10</v>
      </c>
      <c r="D19" s="156">
        <v>6</v>
      </c>
      <c r="E19" s="156" t="s">
        <v>14</v>
      </c>
      <c r="F19" s="156">
        <v>87</v>
      </c>
      <c r="G19" s="156">
        <v>100</v>
      </c>
      <c r="H19" s="163">
        <f t="shared" ref="H19" si="2">(F19*11000*1.17/0.82/0.975+24000)*1.1/0.86*2.86</f>
        <v>5210975.1559841176</v>
      </c>
      <c r="I19" s="32"/>
    </row>
    <row r="20" spans="1:9" s="143" customFormat="1" ht="15" customHeight="1" x14ac:dyDescent="0.25">
      <c r="A20" s="201">
        <v>53</v>
      </c>
      <c r="B20" s="202" t="s">
        <v>12</v>
      </c>
      <c r="C20" s="203" t="s">
        <v>10</v>
      </c>
      <c r="D20" s="202">
        <v>6</v>
      </c>
      <c r="E20" s="202" t="s">
        <v>14</v>
      </c>
      <c r="F20" s="202">
        <v>87</v>
      </c>
      <c r="G20" s="202">
        <v>100</v>
      </c>
      <c r="H20" s="185" t="s">
        <v>41</v>
      </c>
      <c r="I20" s="32"/>
    </row>
    <row r="21" spans="1:9" s="143" customFormat="1" ht="15" customHeight="1" x14ac:dyDescent="0.25">
      <c r="A21" s="151">
        <v>54</v>
      </c>
      <c r="B21" s="152" t="s">
        <v>12</v>
      </c>
      <c r="C21" s="153" t="s">
        <v>10</v>
      </c>
      <c r="D21" s="152">
        <v>7</v>
      </c>
      <c r="E21" s="152" t="s">
        <v>14</v>
      </c>
      <c r="F21" s="152">
        <v>87</v>
      </c>
      <c r="G21" s="152">
        <v>100</v>
      </c>
      <c r="H21" s="163">
        <f>(F21*11000*1.205/0.82/0.975+37000)*1.1/0.86*2.93*1.15*1.2484</f>
        <v>7959650.5571446856</v>
      </c>
      <c r="I21" s="32"/>
    </row>
    <row r="22" spans="1:9" s="143" customFormat="1" ht="15" customHeight="1" x14ac:dyDescent="0.25">
      <c r="A22" s="151">
        <v>55</v>
      </c>
      <c r="B22" s="152" t="s">
        <v>12</v>
      </c>
      <c r="C22" s="153" t="s">
        <v>10</v>
      </c>
      <c r="D22" s="152">
        <v>7</v>
      </c>
      <c r="E22" s="152" t="s">
        <v>14</v>
      </c>
      <c r="F22" s="152">
        <v>87</v>
      </c>
      <c r="G22" s="152">
        <v>100</v>
      </c>
      <c r="H22" s="163">
        <f>(F22*11000*1.205/0.82/0.975+37000)*1.1/0.86*2.93*1.15*1.2484</f>
        <v>7959650.5571446856</v>
      </c>
      <c r="I22" s="32"/>
    </row>
    <row r="23" spans="1:9" s="159" customFormat="1" ht="15" customHeight="1" x14ac:dyDescent="0.25">
      <c r="A23" s="160">
        <v>64</v>
      </c>
      <c r="B23" s="161" t="s">
        <v>12</v>
      </c>
      <c r="C23" s="162" t="s">
        <v>10</v>
      </c>
      <c r="D23" s="161">
        <v>8</v>
      </c>
      <c r="E23" s="161" t="s">
        <v>14</v>
      </c>
      <c r="F23" s="161">
        <v>87</v>
      </c>
      <c r="G23" s="161">
        <v>100</v>
      </c>
      <c r="H23" s="163">
        <f>(F23*11000*1.205/0.82/0.975+37000)*1.1/0.86*2.93*1.15*1.26</f>
        <v>8033610.7834046008</v>
      </c>
      <c r="I23" s="32"/>
    </row>
    <row r="24" spans="1:9" s="159" customFormat="1" ht="15" customHeight="1" x14ac:dyDescent="0.25">
      <c r="A24" s="160">
        <v>65</v>
      </c>
      <c r="B24" s="161" t="s">
        <v>12</v>
      </c>
      <c r="C24" s="162" t="s">
        <v>10</v>
      </c>
      <c r="D24" s="161">
        <v>8</v>
      </c>
      <c r="E24" s="161" t="s">
        <v>14</v>
      </c>
      <c r="F24" s="161">
        <v>87</v>
      </c>
      <c r="G24" s="161">
        <v>100</v>
      </c>
      <c r="H24" s="163">
        <f>(F24*11000*1.205/0.82/0.975+37000)*1.1/0.86*2.93*1.15*1.26</f>
        <v>8033610.7834046008</v>
      </c>
      <c r="I24" s="32"/>
    </row>
    <row r="25" spans="1:9" s="143" customFormat="1" ht="15" customHeight="1" x14ac:dyDescent="0.25">
      <c r="A25" s="151">
        <v>71</v>
      </c>
      <c r="B25" s="152" t="s">
        <v>12</v>
      </c>
      <c r="C25" s="153" t="s">
        <v>10</v>
      </c>
      <c r="D25" s="152">
        <v>9</v>
      </c>
      <c r="E25" s="152" t="s">
        <v>14</v>
      </c>
      <c r="F25" s="152" t="s">
        <v>39</v>
      </c>
      <c r="G25" s="152">
        <v>100</v>
      </c>
      <c r="H25" s="163">
        <f>(F28*11000*1.275/0.82/0.975+53000)*1.1/0.86*2.78*1.168*1.242</f>
        <v>8145787.3914558934</v>
      </c>
      <c r="I25" s="32"/>
    </row>
    <row r="26" spans="1:9" s="143" customFormat="1" ht="15" hidden="1" customHeight="1" x14ac:dyDescent="0.25">
      <c r="A26" s="148">
        <v>72</v>
      </c>
      <c r="B26" s="149" t="s">
        <v>12</v>
      </c>
      <c r="C26" s="150" t="s">
        <v>10</v>
      </c>
      <c r="D26" s="149">
        <v>9</v>
      </c>
      <c r="E26" s="149" t="s">
        <v>14</v>
      </c>
      <c r="F26" s="149">
        <v>87</v>
      </c>
      <c r="G26" s="149">
        <v>100</v>
      </c>
      <c r="H26" s="163">
        <f t="shared" ref="H26:H27" si="3">(F29*11000*1.275/0.82/0.975+53000)*1.1/0.86*2.78*1.168*1.03</f>
        <v>6755363.1346212327</v>
      </c>
      <c r="I26" s="32"/>
    </row>
    <row r="27" spans="1:9" s="143" customFormat="1" ht="15" hidden="1" customHeight="1" x14ac:dyDescent="0.25">
      <c r="A27" s="148">
        <v>73</v>
      </c>
      <c r="B27" s="149" t="s">
        <v>12</v>
      </c>
      <c r="C27" s="150" t="s">
        <v>10</v>
      </c>
      <c r="D27" s="149">
        <v>9</v>
      </c>
      <c r="E27" s="149" t="s">
        <v>16</v>
      </c>
      <c r="F27" s="149">
        <v>180</v>
      </c>
      <c r="G27" s="149">
        <v>200</v>
      </c>
      <c r="H27" s="163">
        <f t="shared" si="3"/>
        <v>6755363.1346212327</v>
      </c>
      <c r="I27" s="32"/>
    </row>
    <row r="28" spans="1:9" s="143" customFormat="1" ht="15" customHeight="1" x14ac:dyDescent="0.25">
      <c r="A28" s="201">
        <v>74</v>
      </c>
      <c r="B28" s="202" t="s">
        <v>12</v>
      </c>
      <c r="C28" s="203" t="s">
        <v>10</v>
      </c>
      <c r="D28" s="202">
        <v>9</v>
      </c>
      <c r="E28" s="202" t="s">
        <v>14</v>
      </c>
      <c r="F28" s="202">
        <v>87</v>
      </c>
      <c r="G28" s="202">
        <v>100</v>
      </c>
      <c r="H28" s="185" t="s">
        <v>41</v>
      </c>
      <c r="I28" s="32"/>
    </row>
    <row r="29" spans="1:9" s="143" customFormat="1" ht="15" customHeight="1" x14ac:dyDescent="0.25">
      <c r="A29" s="151">
        <v>75</v>
      </c>
      <c r="B29" s="152" t="s">
        <v>12</v>
      </c>
      <c r="C29" s="153" t="s">
        <v>10</v>
      </c>
      <c r="D29" s="152">
        <v>9</v>
      </c>
      <c r="E29" s="152" t="s">
        <v>14</v>
      </c>
      <c r="F29" s="152">
        <v>87</v>
      </c>
      <c r="G29" s="152">
        <v>100</v>
      </c>
      <c r="H29" s="163">
        <f>(F32*11000*1.275/0.82/0.975+53000)*1.1/0.86*2.78*1.168*1.242</f>
        <v>8145787.3914558934</v>
      </c>
      <c r="I29" s="32"/>
    </row>
    <row r="30" spans="1:9" s="159" customFormat="1" ht="15" customHeight="1" x14ac:dyDescent="0.25">
      <c r="A30" s="160">
        <v>79</v>
      </c>
      <c r="B30" s="161" t="s">
        <v>12</v>
      </c>
      <c r="C30" s="162" t="s">
        <v>10</v>
      </c>
      <c r="D30" s="161">
        <v>10</v>
      </c>
      <c r="E30" s="161" t="s">
        <v>14</v>
      </c>
      <c r="F30" s="161">
        <v>87</v>
      </c>
      <c r="G30" s="161">
        <v>100</v>
      </c>
      <c r="H30" s="163">
        <f>(F30*11000*1.31/0.82/0.975+61000)*1.1/0.86*2.72*1.165*1.242</f>
        <v>8200677.8174136765</v>
      </c>
      <c r="I30" s="32"/>
    </row>
    <row r="31" spans="1:9" s="159" customFormat="1" ht="15" customHeight="1" x14ac:dyDescent="0.25">
      <c r="A31" s="208">
        <v>80</v>
      </c>
      <c r="B31" s="209" t="s">
        <v>12</v>
      </c>
      <c r="C31" s="210" t="s">
        <v>10</v>
      </c>
      <c r="D31" s="209">
        <v>10</v>
      </c>
      <c r="E31" s="209" t="s">
        <v>16</v>
      </c>
      <c r="F31" s="209">
        <v>120</v>
      </c>
      <c r="G31" s="209">
        <v>135</v>
      </c>
      <c r="H31" s="211" t="s">
        <v>44</v>
      </c>
      <c r="I31" s="32"/>
    </row>
    <row r="32" spans="1:9" s="159" customFormat="1" ht="15" hidden="1" customHeight="1" x14ac:dyDescent="0.25">
      <c r="A32" s="155">
        <v>81</v>
      </c>
      <c r="B32" s="156" t="s">
        <v>12</v>
      </c>
      <c r="C32" s="157" t="s">
        <v>10</v>
      </c>
      <c r="D32" s="156">
        <v>10</v>
      </c>
      <c r="E32" s="156" t="s">
        <v>14</v>
      </c>
      <c r="F32" s="156">
        <v>87</v>
      </c>
      <c r="G32" s="156">
        <v>100</v>
      </c>
      <c r="H32" s="185">
        <f t="shared" ref="H32:H36" si="4">(F32*11000*1.31/0.82/0.975+61000)*1.1/0.86*2.72*1.165*1.04</f>
        <v>6866912.1820533201</v>
      </c>
      <c r="I32" s="32"/>
    </row>
    <row r="33" spans="1:9" s="159" customFormat="1" ht="15" customHeight="1" x14ac:dyDescent="0.25">
      <c r="A33" s="204">
        <v>82</v>
      </c>
      <c r="B33" s="205" t="s">
        <v>12</v>
      </c>
      <c r="C33" s="206" t="s">
        <v>10</v>
      </c>
      <c r="D33" s="205">
        <v>10</v>
      </c>
      <c r="E33" s="205" t="s">
        <v>14</v>
      </c>
      <c r="F33" s="205">
        <v>87</v>
      </c>
      <c r="G33" s="205">
        <v>100</v>
      </c>
      <c r="H33" s="185" t="s">
        <v>41</v>
      </c>
      <c r="I33" s="32"/>
    </row>
    <row r="34" spans="1:9" s="159" customFormat="1" ht="15" customHeight="1" x14ac:dyDescent="0.25">
      <c r="A34" s="160">
        <v>83</v>
      </c>
      <c r="B34" s="161" t="s">
        <v>12</v>
      </c>
      <c r="C34" s="162" t="s">
        <v>10</v>
      </c>
      <c r="D34" s="161">
        <v>10</v>
      </c>
      <c r="E34" s="161" t="s">
        <v>14</v>
      </c>
      <c r="F34" s="161">
        <v>87</v>
      </c>
      <c r="G34" s="161">
        <v>100</v>
      </c>
      <c r="H34" s="163">
        <f>(F34*11000*1.31/0.82/0.975+61000)*1.1/0.86*2.72*1.165*1.242</f>
        <v>8200677.8174136765</v>
      </c>
      <c r="I34" s="32"/>
    </row>
    <row r="35" spans="1:9" s="159" customFormat="1" ht="15" customHeight="1" x14ac:dyDescent="0.25">
      <c r="A35" s="160">
        <v>84</v>
      </c>
      <c r="B35" s="161" t="s">
        <v>12</v>
      </c>
      <c r="C35" s="162" t="s">
        <v>10</v>
      </c>
      <c r="D35" s="161">
        <v>10</v>
      </c>
      <c r="E35" s="161" t="s">
        <v>14</v>
      </c>
      <c r="F35" s="161">
        <v>87</v>
      </c>
      <c r="G35" s="161">
        <v>100</v>
      </c>
      <c r="H35" s="163">
        <f>(F35*11000*1.31/0.82/0.975+61000)*1.1/0.86*2.72*1.165*1.242</f>
        <v>8200677.8174136765</v>
      </c>
      <c r="I35" s="32"/>
    </row>
    <row r="36" spans="1:9" s="143" customFormat="1" ht="15" hidden="1" customHeight="1" x14ac:dyDescent="0.25">
      <c r="A36" s="148">
        <v>86</v>
      </c>
      <c r="B36" s="149" t="s">
        <v>12</v>
      </c>
      <c r="C36" s="150" t="s">
        <v>18</v>
      </c>
      <c r="D36" s="149">
        <v>11</v>
      </c>
      <c r="E36" s="149" t="s">
        <v>16</v>
      </c>
      <c r="F36" s="149">
        <v>109</v>
      </c>
      <c r="G36" s="149">
        <v>125</v>
      </c>
      <c r="H36" s="163">
        <f t="shared" si="4"/>
        <v>8538351.4312119521</v>
      </c>
    </row>
    <row r="37" spans="1:9" s="143" customFormat="1" ht="15" customHeight="1" x14ac:dyDescent="0.25">
      <c r="A37" s="201">
        <v>87</v>
      </c>
      <c r="B37" s="202" t="s">
        <v>12</v>
      </c>
      <c r="C37" s="203" t="s">
        <v>10</v>
      </c>
      <c r="D37" s="202">
        <v>11</v>
      </c>
      <c r="E37" s="202" t="s">
        <v>14</v>
      </c>
      <c r="F37" s="202">
        <v>87</v>
      </c>
      <c r="G37" s="202">
        <v>100</v>
      </c>
      <c r="H37" s="185" t="s">
        <v>41</v>
      </c>
      <c r="I37" s="32"/>
    </row>
    <row r="38" spans="1:9" s="143" customFormat="1" ht="15" customHeight="1" x14ac:dyDescent="0.25">
      <c r="A38" s="151">
        <v>88</v>
      </c>
      <c r="B38" s="152" t="s">
        <v>12</v>
      </c>
      <c r="C38" s="153" t="s">
        <v>10</v>
      </c>
      <c r="D38" s="152">
        <v>11</v>
      </c>
      <c r="E38" s="152" t="s">
        <v>14</v>
      </c>
      <c r="F38" s="152">
        <v>87</v>
      </c>
      <c r="G38" s="152">
        <v>100</v>
      </c>
      <c r="H38" s="163">
        <f>(F38*11000*1.345/0.82/0.975+70000)*1.1/0.86*2.67*1.165*1.238</f>
        <v>8274688.3672625367</v>
      </c>
      <c r="I38" s="32"/>
    </row>
    <row r="39" spans="1:9" s="143" customFormat="1" ht="15" hidden="1" customHeight="1" x14ac:dyDescent="0.25">
      <c r="A39" s="148">
        <v>89</v>
      </c>
      <c r="B39" s="149" t="s">
        <v>12</v>
      </c>
      <c r="C39" s="150" t="s">
        <v>10</v>
      </c>
      <c r="D39" s="149">
        <v>11</v>
      </c>
      <c r="E39" s="149" t="s">
        <v>14</v>
      </c>
      <c r="F39" s="149">
        <v>87</v>
      </c>
      <c r="G39" s="149">
        <v>100</v>
      </c>
      <c r="H39" s="163">
        <f t="shared" ref="H39:H41" si="5">(F39*11000*1.345/0.82/0.975+70000)*1.1/0.86*2.67*1.165*1.238</f>
        <v>8274688.3672625367</v>
      </c>
      <c r="I39" s="32"/>
    </row>
    <row r="40" spans="1:9" s="143" customFormat="1" ht="15" customHeight="1" x14ac:dyDescent="0.25">
      <c r="A40" s="151">
        <v>91</v>
      </c>
      <c r="B40" s="152" t="s">
        <v>12</v>
      </c>
      <c r="C40" s="153" t="s">
        <v>10</v>
      </c>
      <c r="D40" s="152">
        <v>11</v>
      </c>
      <c r="E40" s="152" t="s">
        <v>14</v>
      </c>
      <c r="F40" s="152">
        <v>87</v>
      </c>
      <c r="G40" s="152">
        <v>100</v>
      </c>
      <c r="H40" s="163">
        <f t="shared" si="5"/>
        <v>8274688.3672625367</v>
      </c>
      <c r="I40" s="32"/>
    </row>
    <row r="41" spans="1:9" s="143" customFormat="1" ht="15" customHeight="1" x14ac:dyDescent="0.25">
      <c r="A41" s="151">
        <v>92</v>
      </c>
      <c r="B41" s="152" t="s">
        <v>12</v>
      </c>
      <c r="C41" s="153" t="s">
        <v>10</v>
      </c>
      <c r="D41" s="152">
        <v>11</v>
      </c>
      <c r="E41" s="152" t="s">
        <v>14</v>
      </c>
      <c r="F41" s="152">
        <v>87</v>
      </c>
      <c r="G41" s="152">
        <v>100</v>
      </c>
      <c r="H41" s="163">
        <f t="shared" si="5"/>
        <v>8274688.3672625367</v>
      </c>
      <c r="I41" s="32"/>
    </row>
    <row r="42" spans="1:9" s="143" customFormat="1" ht="15" hidden="1" customHeight="1" x14ac:dyDescent="0.25">
      <c r="A42" s="148">
        <v>93</v>
      </c>
      <c r="B42" s="149" t="s">
        <v>12</v>
      </c>
      <c r="C42" s="150" t="s">
        <v>10</v>
      </c>
      <c r="D42" s="149">
        <v>11</v>
      </c>
      <c r="E42" s="149" t="s">
        <v>14</v>
      </c>
      <c r="F42" s="149">
        <v>87</v>
      </c>
      <c r="G42" s="149">
        <v>100</v>
      </c>
      <c r="H42" s="163">
        <f t="shared" ref="H42" si="6">(F42*11000*1.345/0.82/0.975+70000)*1.1/0.86*2.67*1.165</f>
        <v>6683916.2901959103</v>
      </c>
      <c r="I42" s="32"/>
    </row>
    <row r="43" spans="1:9" s="159" customFormat="1" ht="15" customHeight="1" x14ac:dyDescent="0.25">
      <c r="A43" s="160">
        <v>96</v>
      </c>
      <c r="B43" s="161" t="s">
        <v>12</v>
      </c>
      <c r="C43" s="162" t="s">
        <v>10</v>
      </c>
      <c r="D43" s="161">
        <v>12</v>
      </c>
      <c r="E43" s="161" t="s">
        <v>14</v>
      </c>
      <c r="F43" s="161">
        <v>87</v>
      </c>
      <c r="G43" s="161">
        <v>100</v>
      </c>
      <c r="H43" s="163">
        <f>(F43*11000*1.38/0.82/0.975+78000)*1.1/0.86*2.62*1.16*1.24</f>
        <v>8338453.4014642881</v>
      </c>
      <c r="I43" s="32"/>
    </row>
    <row r="44" spans="1:9" s="159" customFormat="1" ht="15" customHeight="1" x14ac:dyDescent="0.25">
      <c r="A44" s="160">
        <v>97</v>
      </c>
      <c r="B44" s="161" t="s">
        <v>12</v>
      </c>
      <c r="C44" s="162" t="s">
        <v>10</v>
      </c>
      <c r="D44" s="161">
        <v>12</v>
      </c>
      <c r="E44" s="161" t="s">
        <v>14</v>
      </c>
      <c r="F44" s="161">
        <v>87</v>
      </c>
      <c r="G44" s="161">
        <v>100</v>
      </c>
      <c r="H44" s="163">
        <f t="shared" ref="H44:H48" si="7">(F44*11000*1.38/0.82/0.975+78000)*1.1/0.86*2.62*1.16*1.24</f>
        <v>8338453.4014642881</v>
      </c>
      <c r="I44" s="32"/>
    </row>
    <row r="45" spans="1:9" s="159" customFormat="1" ht="15" customHeight="1" x14ac:dyDescent="0.25">
      <c r="A45" s="160">
        <v>98</v>
      </c>
      <c r="B45" s="161" t="s">
        <v>12</v>
      </c>
      <c r="C45" s="162" t="s">
        <v>10</v>
      </c>
      <c r="D45" s="161">
        <v>12</v>
      </c>
      <c r="E45" s="161" t="s">
        <v>14</v>
      </c>
      <c r="F45" s="161">
        <v>87</v>
      </c>
      <c r="G45" s="161">
        <v>100</v>
      </c>
      <c r="H45" s="163">
        <f t="shared" si="7"/>
        <v>8338453.4014642881</v>
      </c>
      <c r="I45" s="32"/>
    </row>
    <row r="46" spans="1:9" s="159" customFormat="1" ht="15" customHeight="1" x14ac:dyDescent="0.25">
      <c r="A46" s="160">
        <v>99</v>
      </c>
      <c r="B46" s="161" t="s">
        <v>12</v>
      </c>
      <c r="C46" s="162" t="s">
        <v>10</v>
      </c>
      <c r="D46" s="161">
        <v>12</v>
      </c>
      <c r="E46" s="161" t="s">
        <v>14</v>
      </c>
      <c r="F46" s="161">
        <v>87</v>
      </c>
      <c r="G46" s="161">
        <v>100</v>
      </c>
      <c r="H46" s="163">
        <f t="shared" si="7"/>
        <v>8338453.4014642881</v>
      </c>
      <c r="I46" s="32"/>
    </row>
    <row r="47" spans="1:9" s="159" customFormat="1" ht="15" customHeight="1" x14ac:dyDescent="0.25">
      <c r="A47" s="160">
        <v>100</v>
      </c>
      <c r="B47" s="161" t="s">
        <v>12</v>
      </c>
      <c r="C47" s="162" t="s">
        <v>10</v>
      </c>
      <c r="D47" s="161">
        <v>12</v>
      </c>
      <c r="E47" s="161" t="s">
        <v>14</v>
      </c>
      <c r="F47" s="161">
        <v>87</v>
      </c>
      <c r="G47" s="161">
        <v>100</v>
      </c>
      <c r="H47" s="163">
        <f t="shared" si="7"/>
        <v>8338453.4014642881</v>
      </c>
      <c r="I47" s="32"/>
    </row>
    <row r="48" spans="1:9" s="159" customFormat="1" ht="15" customHeight="1" x14ac:dyDescent="0.25">
      <c r="A48" s="160">
        <v>101</v>
      </c>
      <c r="B48" s="161" t="s">
        <v>12</v>
      </c>
      <c r="C48" s="162" t="s">
        <v>10</v>
      </c>
      <c r="D48" s="161">
        <v>12</v>
      </c>
      <c r="E48" s="161" t="s">
        <v>14</v>
      </c>
      <c r="F48" s="161">
        <v>87</v>
      </c>
      <c r="G48" s="161">
        <v>100</v>
      </c>
      <c r="H48" s="163">
        <f t="shared" si="7"/>
        <v>8338453.4014642881</v>
      </c>
      <c r="I48" s="32"/>
    </row>
    <row r="49" spans="3:9" s="159" customFormat="1" ht="15" customHeight="1" x14ac:dyDescent="0.25">
      <c r="C49" s="173"/>
      <c r="D49" s="173"/>
      <c r="I49" s="32"/>
    </row>
    <row r="50" spans="3:9" ht="28.5" customHeight="1" x14ac:dyDescent="0.25">
      <c r="C50" s="190" t="s">
        <v>32</v>
      </c>
      <c r="D50" s="198" t="s">
        <v>37</v>
      </c>
      <c r="E50" s="1"/>
    </row>
    <row r="51" spans="3:9" ht="22.5" customHeight="1" x14ac:dyDescent="0.25">
      <c r="C51" s="190" t="s">
        <v>33</v>
      </c>
      <c r="D51" s="198" t="s">
        <v>38</v>
      </c>
      <c r="E51" s="1"/>
    </row>
    <row r="52" spans="3:9" ht="21" customHeight="1" x14ac:dyDescent="0.25">
      <c r="C52" s="191" t="s">
        <v>36</v>
      </c>
      <c r="D52" s="207">
        <v>4973000</v>
      </c>
      <c r="E52" s="1"/>
    </row>
    <row r="53" spans="3:9" ht="21.75" customHeight="1" x14ac:dyDescent="0.25">
      <c r="C53" s="191" t="s">
        <v>34</v>
      </c>
      <c r="D53" s="192" t="s">
        <v>47</v>
      </c>
      <c r="E53" s="1"/>
    </row>
    <row r="54" spans="3:9" ht="18" customHeight="1" x14ac:dyDescent="0.25">
      <c r="C54" s="191" t="s">
        <v>35</v>
      </c>
      <c r="D54" s="192" t="s">
        <v>48</v>
      </c>
      <c r="E54" s="1"/>
    </row>
    <row r="55" spans="3:9" ht="15.75" x14ac:dyDescent="0.25">
      <c r="C55" s="197" t="s">
        <v>46</v>
      </c>
      <c r="D55" s="199" t="s">
        <v>45</v>
      </c>
      <c r="E55" s="4"/>
    </row>
    <row r="56" spans="3:9" ht="15.75" x14ac:dyDescent="0.25">
      <c r="C56" s="197"/>
      <c r="D56" s="199"/>
      <c r="E56" s="4"/>
    </row>
    <row r="57" spans="3:9" ht="15.75" x14ac:dyDescent="0.25">
      <c r="C57" s="197"/>
      <c r="D57" s="199"/>
      <c r="E57" s="4"/>
    </row>
    <row r="58" spans="3:9" ht="15.75" x14ac:dyDescent="0.25">
      <c r="C58" s="197"/>
      <c r="D58" s="199"/>
      <c r="E58" s="4"/>
    </row>
    <row r="59" spans="3:9" x14ac:dyDescent="0.25">
      <c r="C59" s="200"/>
      <c r="D59" s="200"/>
    </row>
  </sheetData>
  <autoFilter ref="A3:H48" xr:uid="{00000000-0009-0000-0000-000003000000}"/>
  <mergeCells count="1">
    <mergeCell ref="A2:H2"/>
  </mergeCells>
  <pageMargins left="0.7" right="0.7" top="0.75" bottom="0.75" header="0.51180555555555496" footer="0.51180555555555496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MJ38"/>
  <sheetViews>
    <sheetView topLeftCell="B1" zoomScale="115" zoomScaleNormal="115" workbookViewId="0">
      <pane ySplit="3" topLeftCell="A25" activePane="bottomLeft" state="frozen"/>
      <selection activeCell="B1" sqref="B1"/>
      <selection pane="bottomLeft" activeCell="F33" sqref="F33"/>
    </sheetView>
  </sheetViews>
  <sheetFormatPr defaultColWidth="8.5703125" defaultRowHeight="15" x14ac:dyDescent="0.25"/>
  <cols>
    <col min="1" max="1" width="15.5703125" style="81" customWidth="1"/>
    <col min="2" max="2" width="12.140625" style="81" customWidth="1"/>
    <col min="3" max="3" width="31.85546875" style="132" customWidth="1"/>
    <col min="4" max="4" width="33.5703125" style="132" customWidth="1"/>
    <col min="5" max="5" width="12.7109375" style="81" customWidth="1"/>
    <col min="6" max="6" width="8.140625" style="81" customWidth="1"/>
    <col min="7" max="7" width="14.28515625" style="81" customWidth="1"/>
    <col min="8" max="8" width="17" style="81" customWidth="1"/>
    <col min="9" max="1024" width="8.5703125" style="81"/>
  </cols>
  <sheetData>
    <row r="2" spans="1:13" ht="26.25" x14ac:dyDescent="0.25">
      <c r="A2" s="214" t="s">
        <v>29</v>
      </c>
      <c r="B2" s="214"/>
      <c r="C2" s="214"/>
      <c r="D2" s="214"/>
      <c r="E2" s="214"/>
      <c r="F2" s="214"/>
      <c r="G2" s="214"/>
      <c r="H2" s="214"/>
    </row>
    <row r="3" spans="1:13" ht="30.75" thickBot="1" x14ac:dyDescent="0.3">
      <c r="A3" s="88" t="s">
        <v>1</v>
      </c>
      <c r="B3" s="133" t="s">
        <v>2</v>
      </c>
      <c r="C3" s="133" t="s">
        <v>3</v>
      </c>
      <c r="D3" s="133" t="s">
        <v>4</v>
      </c>
      <c r="E3" s="134" t="s">
        <v>5</v>
      </c>
      <c r="F3" s="135" t="s">
        <v>6</v>
      </c>
      <c r="G3" s="136" t="s">
        <v>7</v>
      </c>
      <c r="H3" s="137" t="s">
        <v>28</v>
      </c>
      <c r="J3" s="138"/>
      <c r="K3" s="138"/>
      <c r="L3" s="138"/>
      <c r="M3" s="138"/>
    </row>
    <row r="4" spans="1:13" s="159" customFormat="1" hidden="1" x14ac:dyDescent="0.25">
      <c r="A4" s="174">
        <v>103</v>
      </c>
      <c r="B4" s="175" t="s">
        <v>9</v>
      </c>
      <c r="C4" s="175" t="s">
        <v>21</v>
      </c>
      <c r="D4" s="176" t="s">
        <v>11</v>
      </c>
      <c r="E4" s="176" t="s">
        <v>9</v>
      </c>
      <c r="F4" s="176"/>
      <c r="G4" s="176"/>
      <c r="H4" s="177"/>
      <c r="J4" s="178"/>
      <c r="K4" s="178"/>
      <c r="L4" s="178"/>
      <c r="M4" s="178"/>
    </row>
    <row r="5" spans="1:13" s="159" customFormat="1" hidden="1" x14ac:dyDescent="0.25">
      <c r="A5" s="179">
        <v>104</v>
      </c>
      <c r="B5" s="157" t="s">
        <v>9</v>
      </c>
      <c r="C5" s="157" t="s">
        <v>21</v>
      </c>
      <c r="D5" s="156" t="s">
        <v>11</v>
      </c>
      <c r="E5" s="156" t="s">
        <v>9</v>
      </c>
      <c r="F5" s="156"/>
      <c r="G5" s="156"/>
      <c r="H5" s="180"/>
      <c r="J5" s="178"/>
      <c r="K5" s="178"/>
      <c r="L5" s="178"/>
      <c r="M5" s="178"/>
    </row>
    <row r="6" spans="1:13" s="159" customFormat="1" hidden="1" x14ac:dyDescent="0.25">
      <c r="A6" s="179">
        <v>105</v>
      </c>
      <c r="B6" s="157" t="s">
        <v>9</v>
      </c>
      <c r="C6" s="157" t="s">
        <v>30</v>
      </c>
      <c r="D6" s="156" t="s">
        <v>11</v>
      </c>
      <c r="E6" s="156" t="s">
        <v>9</v>
      </c>
      <c r="F6" s="156"/>
      <c r="G6" s="156"/>
      <c r="H6" s="180"/>
      <c r="J6" s="178"/>
      <c r="K6" s="178"/>
      <c r="L6" s="178"/>
      <c r="M6" s="178"/>
    </row>
    <row r="7" spans="1:13" s="159" customFormat="1" hidden="1" x14ac:dyDescent="0.25">
      <c r="A7" s="179">
        <v>106</v>
      </c>
      <c r="B7" s="157" t="s">
        <v>9</v>
      </c>
      <c r="C7" s="157" t="s">
        <v>31</v>
      </c>
      <c r="D7" s="156" t="s">
        <v>11</v>
      </c>
      <c r="E7" s="156" t="s">
        <v>9</v>
      </c>
      <c r="F7" s="156"/>
      <c r="G7" s="156"/>
      <c r="H7" s="180"/>
      <c r="J7" s="178"/>
      <c r="K7" s="178"/>
      <c r="L7" s="178"/>
      <c r="M7" s="178"/>
    </row>
    <row r="8" spans="1:13" s="159" customFormat="1" hidden="1" x14ac:dyDescent="0.25">
      <c r="A8" s="179">
        <v>107</v>
      </c>
      <c r="B8" s="157" t="s">
        <v>9</v>
      </c>
      <c r="C8" s="157" t="s">
        <v>31</v>
      </c>
      <c r="D8" s="156" t="s">
        <v>11</v>
      </c>
      <c r="E8" s="156" t="s">
        <v>9</v>
      </c>
      <c r="F8" s="156"/>
      <c r="G8" s="156"/>
      <c r="H8" s="180"/>
      <c r="J8" s="178"/>
      <c r="K8" s="178"/>
      <c r="L8" s="178"/>
      <c r="M8" s="178"/>
    </row>
    <row r="9" spans="1:13" s="159" customFormat="1" hidden="1" x14ac:dyDescent="0.25">
      <c r="A9" s="179">
        <v>108</v>
      </c>
      <c r="B9" s="157" t="s">
        <v>9</v>
      </c>
      <c r="C9" s="157" t="s">
        <v>31</v>
      </c>
      <c r="D9" s="156" t="s">
        <v>11</v>
      </c>
      <c r="E9" s="156" t="s">
        <v>9</v>
      </c>
      <c r="F9" s="156"/>
      <c r="G9" s="156"/>
      <c r="H9" s="180"/>
      <c r="J9" s="178"/>
      <c r="K9" s="178"/>
      <c r="L9" s="178"/>
      <c r="M9" s="178"/>
    </row>
    <row r="10" spans="1:13" s="143" customFormat="1" x14ac:dyDescent="0.25">
      <c r="A10" s="151">
        <v>70</v>
      </c>
      <c r="B10" s="202" t="s">
        <v>12</v>
      </c>
      <c r="C10" s="203" t="s">
        <v>31</v>
      </c>
      <c r="D10" s="202">
        <v>9</v>
      </c>
      <c r="E10" s="202" t="s">
        <v>23</v>
      </c>
      <c r="F10" s="202">
        <v>60</v>
      </c>
      <c r="G10" s="202">
        <v>69</v>
      </c>
      <c r="H10" s="185" t="s">
        <v>41</v>
      </c>
    </row>
    <row r="11" spans="1:13" s="159" customFormat="1" x14ac:dyDescent="0.25">
      <c r="A11" s="160">
        <v>73</v>
      </c>
      <c r="B11" s="161" t="s">
        <v>12</v>
      </c>
      <c r="C11" s="162" t="s">
        <v>13</v>
      </c>
      <c r="D11" s="161">
        <v>10</v>
      </c>
      <c r="E11" s="161" t="s">
        <v>23</v>
      </c>
      <c r="F11" s="161">
        <v>60</v>
      </c>
      <c r="G11" s="161">
        <v>69</v>
      </c>
      <c r="H11" s="163">
        <f>F11*11500*1.07/0.82/0.9*3.2*1.19/0.73</f>
        <v>5218558.8595611993</v>
      </c>
    </row>
    <row r="12" spans="1:13" s="159" customFormat="1" x14ac:dyDescent="0.25">
      <c r="A12" s="160">
        <v>74</v>
      </c>
      <c r="B12" s="161" t="s">
        <v>12</v>
      </c>
      <c r="C12" s="162" t="s">
        <v>31</v>
      </c>
      <c r="D12" s="161">
        <v>10</v>
      </c>
      <c r="E12" s="161" t="s">
        <v>23</v>
      </c>
      <c r="F12" s="161">
        <v>60</v>
      </c>
      <c r="G12" s="161">
        <v>69</v>
      </c>
      <c r="H12" s="163">
        <f>F12*11500*1.07/0.82/0.9*3.2*1.19/0.95/0.80636</f>
        <v>4973027.5461132359</v>
      </c>
    </row>
    <row r="13" spans="1:13" s="159" customFormat="1" x14ac:dyDescent="0.25">
      <c r="A13" s="160">
        <v>75</v>
      </c>
      <c r="B13" s="205" t="s">
        <v>12</v>
      </c>
      <c r="C13" s="206" t="s">
        <v>31</v>
      </c>
      <c r="D13" s="205">
        <v>10</v>
      </c>
      <c r="E13" s="205" t="s">
        <v>23</v>
      </c>
      <c r="F13" s="205">
        <v>60</v>
      </c>
      <c r="G13" s="205">
        <v>69</v>
      </c>
      <c r="H13" s="185" t="s">
        <v>41</v>
      </c>
    </row>
    <row r="14" spans="1:13" s="159" customFormat="1" x14ac:dyDescent="0.25">
      <c r="A14" s="160">
        <v>76</v>
      </c>
      <c r="B14" s="205" t="s">
        <v>12</v>
      </c>
      <c r="C14" s="206" t="s">
        <v>31</v>
      </c>
      <c r="D14" s="205">
        <v>10</v>
      </c>
      <c r="E14" s="205" t="s">
        <v>23</v>
      </c>
      <c r="F14" s="205">
        <v>60</v>
      </c>
      <c r="G14" s="205">
        <v>69</v>
      </c>
      <c r="H14" s="185" t="s">
        <v>41</v>
      </c>
    </row>
    <row r="15" spans="1:13" s="159" customFormat="1" x14ac:dyDescent="0.25">
      <c r="A15" s="160">
        <v>77</v>
      </c>
      <c r="B15" s="205" t="s">
        <v>12</v>
      </c>
      <c r="C15" s="206" t="s">
        <v>31</v>
      </c>
      <c r="D15" s="205">
        <v>10</v>
      </c>
      <c r="E15" s="205" t="s">
        <v>23</v>
      </c>
      <c r="F15" s="205">
        <v>60</v>
      </c>
      <c r="G15" s="205">
        <v>69</v>
      </c>
      <c r="H15" s="185" t="s">
        <v>41</v>
      </c>
    </row>
    <row r="16" spans="1:13" s="159" customFormat="1" x14ac:dyDescent="0.25">
      <c r="A16" s="160">
        <v>78</v>
      </c>
      <c r="B16" s="205" t="s">
        <v>12</v>
      </c>
      <c r="C16" s="206" t="s">
        <v>31</v>
      </c>
      <c r="D16" s="205">
        <v>10</v>
      </c>
      <c r="E16" s="205" t="s">
        <v>23</v>
      </c>
      <c r="F16" s="205">
        <v>60</v>
      </c>
      <c r="G16" s="205">
        <v>69</v>
      </c>
      <c r="H16" s="185" t="s">
        <v>41</v>
      </c>
    </row>
    <row r="17" spans="1:9" s="159" customFormat="1" x14ac:dyDescent="0.25">
      <c r="A17" s="160">
        <v>79</v>
      </c>
      <c r="B17" s="161" t="s">
        <v>12</v>
      </c>
      <c r="C17" s="162" t="s">
        <v>31</v>
      </c>
      <c r="D17" s="161">
        <v>10</v>
      </c>
      <c r="E17" s="161" t="s">
        <v>23</v>
      </c>
      <c r="F17" s="161">
        <v>60</v>
      </c>
      <c r="G17" s="161">
        <v>69</v>
      </c>
      <c r="H17" s="163">
        <f>F17*11500*1.07/0.82/0.9*3.2*1.19/0.95/0.80636</f>
        <v>4973027.5461132359</v>
      </c>
    </row>
    <row r="18" spans="1:9" s="159" customFormat="1" x14ac:dyDescent="0.25">
      <c r="A18" s="160">
        <v>80</v>
      </c>
      <c r="B18" s="161" t="s">
        <v>12</v>
      </c>
      <c r="C18" s="162" t="s">
        <v>31</v>
      </c>
      <c r="D18" s="161">
        <v>10</v>
      </c>
      <c r="E18" s="161" t="s">
        <v>23</v>
      </c>
      <c r="F18" s="161">
        <v>60</v>
      </c>
      <c r="G18" s="161">
        <v>69</v>
      </c>
      <c r="H18" s="163">
        <f t="shared" ref="H18" si="0">F18*11500*1.07/0.82/0.9*3.2*1.19/0.95/0.80636</f>
        <v>4973027.5461132359</v>
      </c>
    </row>
    <row r="19" spans="1:9" s="159" customFormat="1" x14ac:dyDescent="0.25">
      <c r="A19" s="160">
        <v>81</v>
      </c>
      <c r="B19" s="161" t="s">
        <v>12</v>
      </c>
      <c r="C19" s="162" t="s">
        <v>15</v>
      </c>
      <c r="D19" s="161">
        <v>10</v>
      </c>
      <c r="E19" s="161" t="s">
        <v>23</v>
      </c>
      <c r="F19" s="161">
        <v>60</v>
      </c>
      <c r="G19" s="161">
        <v>69</v>
      </c>
      <c r="H19" s="163">
        <f>F19*11500*1.07/0.82/0.9*3.2*1.19/0.73</f>
        <v>5218558.8595611993</v>
      </c>
    </row>
    <row r="20" spans="1:9" s="159" customFormat="1" x14ac:dyDescent="0.25">
      <c r="A20" s="151">
        <v>82</v>
      </c>
      <c r="B20" s="152" t="s">
        <v>12</v>
      </c>
      <c r="C20" s="153" t="s">
        <v>13</v>
      </c>
      <c r="D20" s="152">
        <v>11</v>
      </c>
      <c r="E20" s="152" t="s">
        <v>23</v>
      </c>
      <c r="F20" s="152">
        <v>60</v>
      </c>
      <c r="G20" s="152">
        <v>69</v>
      </c>
      <c r="H20" s="163">
        <f>F20*11500*1.07/0.82/0.9*3.2*1.2/0.95/0.75</f>
        <v>5391664.5271715885</v>
      </c>
      <c r="I20" s="32"/>
    </row>
    <row r="21" spans="1:9" x14ac:dyDescent="0.25">
      <c r="A21" s="151">
        <v>83</v>
      </c>
      <c r="B21" s="152" t="s">
        <v>12</v>
      </c>
      <c r="C21" s="153" t="s">
        <v>31</v>
      </c>
      <c r="D21" s="152">
        <v>11</v>
      </c>
      <c r="E21" s="152" t="s">
        <v>23</v>
      </c>
      <c r="F21" s="152">
        <v>60</v>
      </c>
      <c r="G21" s="152">
        <v>69</v>
      </c>
      <c r="H21" s="163">
        <f>F21*11500*1.07/0.82/0.9*3.2*1.2/0.95/0.8</f>
        <v>5054685.4942233637</v>
      </c>
    </row>
    <row r="22" spans="1:9" x14ac:dyDescent="0.25">
      <c r="A22" s="151">
        <v>84</v>
      </c>
      <c r="B22" s="152" t="s">
        <v>12</v>
      </c>
      <c r="C22" s="153" t="s">
        <v>31</v>
      </c>
      <c r="D22" s="152">
        <v>11</v>
      </c>
      <c r="E22" s="152" t="s">
        <v>23</v>
      </c>
      <c r="F22" s="152">
        <v>60</v>
      </c>
      <c r="G22" s="152">
        <v>69</v>
      </c>
      <c r="H22" s="163">
        <f t="shared" ref="H22:H27" si="1">F22*11500*1.07/0.82/0.9*3.2*1.2/0.95/0.8</f>
        <v>5054685.4942233637</v>
      </c>
    </row>
    <row r="23" spans="1:9" x14ac:dyDescent="0.25">
      <c r="A23" s="151">
        <v>85</v>
      </c>
      <c r="B23" s="152" t="s">
        <v>12</v>
      </c>
      <c r="C23" s="153" t="s">
        <v>31</v>
      </c>
      <c r="D23" s="152">
        <v>11</v>
      </c>
      <c r="E23" s="152" t="s">
        <v>23</v>
      </c>
      <c r="F23" s="152">
        <v>60</v>
      </c>
      <c r="G23" s="152">
        <v>69</v>
      </c>
      <c r="H23" s="163">
        <f t="shared" si="1"/>
        <v>5054685.4942233637</v>
      </c>
    </row>
    <row r="24" spans="1:9" x14ac:dyDescent="0.25">
      <c r="A24" s="151">
        <v>86</v>
      </c>
      <c r="B24" s="152" t="s">
        <v>12</v>
      </c>
      <c r="C24" s="153" t="s">
        <v>31</v>
      </c>
      <c r="D24" s="152">
        <v>11</v>
      </c>
      <c r="E24" s="152" t="s">
        <v>23</v>
      </c>
      <c r="F24" s="152">
        <v>60</v>
      </c>
      <c r="G24" s="152">
        <v>69</v>
      </c>
      <c r="H24" s="163">
        <f t="shared" si="1"/>
        <v>5054685.4942233637</v>
      </c>
    </row>
    <row r="25" spans="1:9" x14ac:dyDescent="0.25">
      <c r="A25" s="151">
        <v>87</v>
      </c>
      <c r="B25" s="152" t="s">
        <v>12</v>
      </c>
      <c r="C25" s="153" t="s">
        <v>31</v>
      </c>
      <c r="D25" s="152">
        <v>11</v>
      </c>
      <c r="E25" s="152" t="s">
        <v>23</v>
      </c>
      <c r="F25" s="152">
        <v>60</v>
      </c>
      <c r="G25" s="152">
        <v>69</v>
      </c>
      <c r="H25" s="163">
        <f t="shared" si="1"/>
        <v>5054685.4942233637</v>
      </c>
    </row>
    <row r="26" spans="1:9" x14ac:dyDescent="0.25">
      <c r="A26" s="151">
        <v>88</v>
      </c>
      <c r="B26" s="152" t="s">
        <v>12</v>
      </c>
      <c r="C26" s="153" t="s">
        <v>31</v>
      </c>
      <c r="D26" s="152">
        <v>11</v>
      </c>
      <c r="E26" s="152" t="s">
        <v>23</v>
      </c>
      <c r="F26" s="152">
        <v>60</v>
      </c>
      <c r="G26" s="152">
        <v>69</v>
      </c>
      <c r="H26" s="163">
        <f t="shared" si="1"/>
        <v>5054685.4942233637</v>
      </c>
    </row>
    <row r="27" spans="1:9" x14ac:dyDescent="0.25">
      <c r="A27" s="151">
        <v>89</v>
      </c>
      <c r="B27" s="152" t="s">
        <v>12</v>
      </c>
      <c r="C27" s="153" t="s">
        <v>31</v>
      </c>
      <c r="D27" s="152">
        <v>11</v>
      </c>
      <c r="E27" s="152" t="s">
        <v>23</v>
      </c>
      <c r="F27" s="152">
        <v>60</v>
      </c>
      <c r="G27" s="152">
        <v>69</v>
      </c>
      <c r="H27" s="163">
        <f t="shared" si="1"/>
        <v>5054685.4942233637</v>
      </c>
    </row>
    <row r="28" spans="1:9" x14ac:dyDescent="0.25">
      <c r="A28" s="151">
        <v>90</v>
      </c>
      <c r="B28" s="152" t="s">
        <v>12</v>
      </c>
      <c r="C28" s="153" t="s">
        <v>15</v>
      </c>
      <c r="D28" s="152">
        <v>11</v>
      </c>
      <c r="E28" s="152" t="s">
        <v>23</v>
      </c>
      <c r="F28" s="152">
        <v>60</v>
      </c>
      <c r="G28" s="152">
        <v>69</v>
      </c>
      <c r="H28" s="163">
        <f>F28*11500*1.07/0.82/0.9*3.2*1.2/0.95/0.75</f>
        <v>5391664.5271715885</v>
      </c>
    </row>
    <row r="30" spans="1:9" x14ac:dyDescent="0.25">
      <c r="C30" s="190" t="s">
        <v>32</v>
      </c>
      <c r="D30" s="198" t="s">
        <v>37</v>
      </c>
    </row>
    <row r="31" spans="1:9" x14ac:dyDescent="0.25">
      <c r="C31" s="190" t="s">
        <v>33</v>
      </c>
      <c r="D31" s="198" t="s">
        <v>38</v>
      </c>
    </row>
    <row r="32" spans="1:9" ht="15.75" x14ac:dyDescent="0.25">
      <c r="C32" s="191" t="s">
        <v>36</v>
      </c>
      <c r="D32" s="207">
        <v>4973000</v>
      </c>
    </row>
    <row r="33" spans="3:4" ht="15.75" x14ac:dyDescent="0.25">
      <c r="C33" s="191" t="s">
        <v>34</v>
      </c>
      <c r="D33" s="192" t="s">
        <v>47</v>
      </c>
    </row>
    <row r="34" spans="3:4" ht="15.75" x14ac:dyDescent="0.25">
      <c r="C34" s="191" t="s">
        <v>35</v>
      </c>
      <c r="D34" s="192" t="s">
        <v>43</v>
      </c>
    </row>
    <row r="35" spans="3:4" ht="15.75" x14ac:dyDescent="0.25">
      <c r="C35" s="197" t="s">
        <v>46</v>
      </c>
      <c r="D35" s="199" t="s">
        <v>45</v>
      </c>
    </row>
    <row r="36" spans="3:4" ht="15.75" x14ac:dyDescent="0.25">
      <c r="C36" s="197"/>
      <c r="D36" s="199"/>
    </row>
    <row r="37" spans="3:4" ht="15.75" x14ac:dyDescent="0.25">
      <c r="C37" s="197"/>
      <c r="D37" s="199"/>
    </row>
    <row r="38" spans="3:4" ht="15.75" x14ac:dyDescent="0.25">
      <c r="C38" s="197"/>
      <c r="D38" s="199"/>
    </row>
  </sheetData>
  <autoFilter ref="A3:H28" xr:uid="{00000000-0009-0000-0000-000004000000}"/>
  <mergeCells count="1">
    <mergeCell ref="A2:H2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283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A-1</vt:lpstr>
      <vt:lpstr>A-2</vt:lpstr>
      <vt:lpstr>A-3</vt:lpstr>
      <vt:lpstr>A-4</vt:lpstr>
      <vt:lpstr>A-5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Orhan Uğur Demir</cp:lastModifiedBy>
  <cp:revision>26</cp:revision>
  <dcterms:created xsi:type="dcterms:W3CDTF">2006-09-16T00:00:00Z</dcterms:created>
  <dcterms:modified xsi:type="dcterms:W3CDTF">2022-10-04T15:09:22Z</dcterms:modified>
  <dc:language>tr-TR</dc:language>
</cp:coreProperties>
</file>